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95" windowWidth="15120" windowHeight="7575" tabRatio="880"/>
  </bookViews>
  <sheets>
    <sheet name="Ekonomiska beräkningar" sheetId="12" r:id="rId1"/>
    <sheet name="Soc. Kostn Int till kalkylen" sheetId="18" r:id="rId2"/>
    <sheet name="Soc. kostnader intäkter Macken" sheetId="17" r:id="rId3"/>
    <sheet name="Soc. före resultat av koncept 1" sheetId="19" r:id="rId4"/>
    <sheet name="Skördenivå" sheetId="20" r:id="rId5"/>
    <sheet name="Arbetstimmar" sheetId="21" r:id="rId6"/>
    <sheet name="Försäljningspris handeln" sheetId="22" r:id="rId7"/>
    <sheet name="Några investeringskostnader" sheetId="23" r:id="rId8"/>
  </sheets>
  <calcPr calcId="145621"/>
</workbook>
</file>

<file path=xl/calcChain.xml><?xml version="1.0" encoding="utf-8"?>
<calcChain xmlns="http://schemas.openxmlformats.org/spreadsheetml/2006/main">
  <c r="C95" i="12" l="1"/>
  <c r="C94" i="12"/>
  <c r="C93" i="12"/>
  <c r="C92" i="12"/>
  <c r="C103" i="12"/>
  <c r="E63" i="12"/>
  <c r="E64" i="12"/>
  <c r="E65" i="12"/>
  <c r="E66" i="12"/>
  <c r="C96" i="12"/>
  <c r="B15" i="23"/>
  <c r="C133" i="22"/>
  <c r="B133" i="22"/>
  <c r="C132" i="22"/>
  <c r="B132" i="22"/>
  <c r="C131" i="22"/>
  <c r="B131" i="22"/>
  <c r="C98" i="22"/>
  <c r="B98" i="22"/>
  <c r="C97" i="22"/>
  <c r="B97" i="22"/>
  <c r="C96" i="22"/>
  <c r="B96" i="22"/>
  <c r="C68" i="22"/>
  <c r="B68" i="22"/>
  <c r="C67" i="22"/>
  <c r="B67" i="22"/>
  <c r="C66" i="22"/>
  <c r="B66" i="22"/>
  <c r="C60" i="22"/>
  <c r="B60" i="22"/>
  <c r="C59" i="22"/>
  <c r="B59" i="22"/>
  <c r="C58" i="22"/>
  <c r="C118" i="22" s="1"/>
  <c r="B58" i="22"/>
  <c r="B117" i="22" s="1"/>
  <c r="I51" i="22"/>
  <c r="C51" i="22"/>
  <c r="B51" i="22"/>
  <c r="I50" i="22"/>
  <c r="C50" i="22"/>
  <c r="B50" i="22"/>
  <c r="I49" i="22"/>
  <c r="C49" i="22"/>
  <c r="B49" i="22"/>
  <c r="J45" i="22"/>
  <c r="I45" i="22"/>
  <c r="J44" i="22"/>
  <c r="I44" i="22"/>
  <c r="C44" i="22"/>
  <c r="B44" i="22"/>
  <c r="J43" i="22"/>
  <c r="I43" i="22"/>
  <c r="C43" i="22"/>
  <c r="B43" i="22"/>
  <c r="C42" i="22"/>
  <c r="B42" i="22"/>
  <c r="J41" i="22"/>
  <c r="I41" i="22"/>
  <c r="J40" i="22"/>
  <c r="I40" i="22"/>
  <c r="J39" i="22"/>
  <c r="I39" i="22"/>
  <c r="J37" i="22"/>
  <c r="I37" i="22"/>
  <c r="C37" i="22"/>
  <c r="B37" i="22"/>
  <c r="J36" i="22"/>
  <c r="I36" i="22"/>
  <c r="C36" i="22"/>
  <c r="B36" i="22"/>
  <c r="J35" i="22"/>
  <c r="I35" i="22"/>
  <c r="C35" i="22"/>
  <c r="B35" i="22"/>
  <c r="L33" i="22"/>
  <c r="J33" i="22"/>
  <c r="I33" i="22"/>
  <c r="M32" i="22"/>
  <c r="L32" i="22"/>
  <c r="J32" i="22"/>
  <c r="I32" i="22"/>
  <c r="M31" i="22"/>
  <c r="L31" i="22"/>
  <c r="J31" i="22"/>
  <c r="I31" i="22"/>
  <c r="J29" i="22"/>
  <c r="I29" i="22"/>
  <c r="C29" i="22"/>
  <c r="B29" i="22"/>
  <c r="J28" i="22"/>
  <c r="I28" i="22"/>
  <c r="C28" i="22"/>
  <c r="B28" i="22"/>
  <c r="J27" i="22"/>
  <c r="I27" i="22"/>
  <c r="C27" i="22"/>
  <c r="B27" i="22"/>
  <c r="J25" i="22"/>
  <c r="I25" i="22"/>
  <c r="O24" i="22"/>
  <c r="J24" i="22"/>
  <c r="I24" i="22"/>
  <c r="O23" i="22"/>
  <c r="J23" i="22"/>
  <c r="I23" i="22"/>
  <c r="O22" i="22"/>
  <c r="J21" i="22"/>
  <c r="I21" i="22"/>
  <c r="J20" i="22"/>
  <c r="I20" i="22"/>
  <c r="C20" i="22"/>
  <c r="B20" i="22"/>
  <c r="M19" i="22"/>
  <c r="J19" i="22"/>
  <c r="I19" i="22"/>
  <c r="C19" i="22"/>
  <c r="B19" i="22"/>
  <c r="O18" i="22"/>
  <c r="C18" i="22"/>
  <c r="B18" i="22"/>
  <c r="O17" i="22"/>
  <c r="J17" i="22"/>
  <c r="I17" i="22"/>
  <c r="O16" i="22"/>
  <c r="J16" i="22"/>
  <c r="I16" i="22"/>
  <c r="J15" i="22"/>
  <c r="I15" i="22"/>
  <c r="J13" i="22"/>
  <c r="I13" i="22"/>
  <c r="C13" i="22"/>
  <c r="B13" i="22"/>
  <c r="J12" i="22"/>
  <c r="I12" i="22"/>
  <c r="C12" i="22"/>
  <c r="B12" i="22"/>
  <c r="J11" i="22"/>
  <c r="I11" i="22"/>
  <c r="C11" i="22"/>
  <c r="B11" i="22"/>
  <c r="C12" i="21"/>
  <c r="C11" i="21"/>
  <c r="C10" i="21"/>
  <c r="E62" i="12"/>
  <c r="C66" i="12"/>
  <c r="C65" i="12"/>
  <c r="C64" i="12"/>
  <c r="C63" i="12"/>
  <c r="B97" i="12"/>
  <c r="C97" i="12" s="1"/>
  <c r="B96" i="12"/>
  <c r="B95" i="12"/>
  <c r="B94" i="12"/>
  <c r="B93" i="12"/>
  <c r="B92" i="12"/>
  <c r="B11" i="18"/>
  <c r="B10" i="18"/>
  <c r="B9" i="18"/>
  <c r="B8" i="18"/>
  <c r="B7" i="18"/>
  <c r="B6" i="18"/>
  <c r="C19" i="18"/>
  <c r="C12" i="18"/>
  <c r="B18" i="18"/>
  <c r="B17" i="18"/>
  <c r="B16" i="18"/>
  <c r="B15" i="18"/>
  <c r="E21" i="17"/>
  <c r="D21" i="17"/>
  <c r="C117" i="22" l="1"/>
  <c r="B116" i="22"/>
  <c r="B118" i="22"/>
  <c r="C116" i="22"/>
  <c r="B19" i="18"/>
  <c r="B12" i="18"/>
  <c r="B6" i="12"/>
  <c r="B77" i="12" s="1"/>
  <c r="B25" i="12"/>
  <c r="F103" i="12"/>
  <c r="F104" i="12" s="1"/>
  <c r="G103" i="12"/>
  <c r="G104" i="12" s="1"/>
  <c r="H103" i="12"/>
  <c r="I103" i="12"/>
  <c r="I104" i="12" s="1"/>
  <c r="B9" i="12"/>
  <c r="C77" i="12" l="1"/>
  <c r="B78" i="12"/>
  <c r="C78" i="12" s="1"/>
  <c r="L149" i="12"/>
  <c r="I145" i="12"/>
  <c r="I152" i="12" s="1"/>
  <c r="G145" i="12"/>
  <c r="G152" i="12" s="1"/>
  <c r="H145" i="12"/>
  <c r="H152" i="12" s="1"/>
  <c r="F145" i="12"/>
  <c r="F152" i="12" s="1"/>
  <c r="B157" i="12"/>
  <c r="M156" i="12"/>
  <c r="M157" i="12" s="1"/>
  <c r="L156" i="12"/>
  <c r="L157" i="12" s="1"/>
  <c r="K156" i="12"/>
  <c r="K157" i="12" s="1"/>
  <c r="J156" i="12"/>
  <c r="J157" i="12" s="1"/>
  <c r="I156" i="12"/>
  <c r="H156" i="12"/>
  <c r="G156" i="12"/>
  <c r="F156" i="12"/>
  <c r="E156" i="12"/>
  <c r="E157" i="12" s="1"/>
  <c r="D156" i="12"/>
  <c r="D157" i="12" s="1"/>
  <c r="C156" i="12"/>
  <c r="C157" i="12" s="1"/>
  <c r="M149" i="12"/>
  <c r="M150" i="12" s="1"/>
  <c r="K149" i="12"/>
  <c r="K150" i="12" s="1"/>
  <c r="J149" i="12"/>
  <c r="J150" i="12" s="1"/>
  <c r="I149" i="12"/>
  <c r="H149" i="12"/>
  <c r="G149" i="12"/>
  <c r="F149" i="12"/>
  <c r="E149" i="12"/>
  <c r="E150" i="12" s="1"/>
  <c r="D149" i="12"/>
  <c r="C149" i="12"/>
  <c r="C150" i="12" s="1"/>
  <c r="B149" i="12"/>
  <c r="B150" i="12" s="1"/>
  <c r="G135" i="12"/>
  <c r="G136" i="12" s="1"/>
  <c r="B135" i="12"/>
  <c r="B136" i="12" s="1"/>
  <c r="B12" i="12"/>
  <c r="B79" i="12" s="1"/>
  <c r="C79" i="12" s="1"/>
  <c r="B37" i="12"/>
  <c r="B43" i="12" s="1"/>
  <c r="D43" i="12" s="1"/>
  <c r="B38" i="12"/>
  <c r="E43" i="12"/>
  <c r="D45" i="12"/>
  <c r="E45" i="12"/>
  <c r="D46" i="12"/>
  <c r="E46" i="12"/>
  <c r="D47" i="12"/>
  <c r="E47" i="12"/>
  <c r="D48" i="12"/>
  <c r="E48" i="12"/>
  <c r="D49" i="12"/>
  <c r="C110" i="12" s="1"/>
  <c r="E49" i="12"/>
  <c r="D50" i="12"/>
  <c r="E50" i="12"/>
  <c r="D51" i="12"/>
  <c r="E51" i="12"/>
  <c r="D52" i="12"/>
  <c r="E52" i="12"/>
  <c r="D53" i="12"/>
  <c r="E53" i="12"/>
  <c r="D54" i="12"/>
  <c r="E54" i="12"/>
  <c r="D55" i="12"/>
  <c r="E55" i="12"/>
  <c r="D56" i="12"/>
  <c r="E56" i="12"/>
  <c r="E69" i="12"/>
  <c r="B76" i="12"/>
  <c r="B80" i="12"/>
  <c r="C80" i="12" s="1"/>
  <c r="C81" i="12"/>
  <c r="C82" i="12"/>
  <c r="C83" i="12"/>
  <c r="C84" i="12"/>
  <c r="C85" i="12"/>
  <c r="C86" i="12"/>
  <c r="B87" i="12"/>
  <c r="C87" i="12" s="1"/>
  <c r="C88" i="12"/>
  <c r="B89" i="12"/>
  <c r="C89" i="12" s="1"/>
  <c r="B90" i="12"/>
  <c r="C90" i="12" s="1"/>
  <c r="B91" i="12"/>
  <c r="C91" i="12" s="1"/>
  <c r="C98" i="12"/>
  <c r="C104" i="12"/>
  <c r="C105" i="12"/>
  <c r="C106" i="12"/>
  <c r="C107" i="12"/>
  <c r="C128" i="12"/>
  <c r="C129" i="12" s="1"/>
  <c r="D128" i="12"/>
  <c r="D129" i="12" s="1"/>
  <c r="E128" i="12"/>
  <c r="E129" i="12" s="1"/>
  <c r="B129" i="12"/>
  <c r="C135" i="12"/>
  <c r="C136" i="12" s="1"/>
  <c r="D135" i="12"/>
  <c r="E135" i="12"/>
  <c r="E136" i="12" s="1"/>
  <c r="C142" i="12"/>
  <c r="C143" i="12" s="1"/>
  <c r="D142" i="12"/>
  <c r="D143" i="12" s="1"/>
  <c r="E142" i="12"/>
  <c r="E143" i="12" s="1"/>
  <c r="B143" i="12"/>
  <c r="M128" i="12"/>
  <c r="L128" i="12"/>
  <c r="K128" i="12"/>
  <c r="J128" i="12"/>
  <c r="I128" i="12"/>
  <c r="H128" i="12"/>
  <c r="G128" i="12"/>
  <c r="F128" i="12"/>
  <c r="I124" i="12"/>
  <c r="H124" i="12"/>
  <c r="G124" i="12"/>
  <c r="M121" i="12"/>
  <c r="M122" i="12" s="1"/>
  <c r="L121" i="12"/>
  <c r="L122" i="12" s="1"/>
  <c r="K121" i="12"/>
  <c r="K122" i="12" s="1"/>
  <c r="J121" i="12"/>
  <c r="J122" i="12" s="1"/>
  <c r="I121" i="12"/>
  <c r="I122" i="12" s="1"/>
  <c r="H121" i="12"/>
  <c r="G121" i="12"/>
  <c r="G122" i="12" s="1"/>
  <c r="F121" i="12"/>
  <c r="L135" i="12"/>
  <c r="L136" i="12" s="1"/>
  <c r="J142" i="12"/>
  <c r="G142" i="12"/>
  <c r="I138" i="12"/>
  <c r="H138" i="12"/>
  <c r="G138" i="12"/>
  <c r="M142" i="12"/>
  <c r="L142" i="12"/>
  <c r="K142" i="12"/>
  <c r="I142" i="12"/>
  <c r="H142" i="12"/>
  <c r="F142" i="12"/>
  <c r="M135" i="12"/>
  <c r="M136" i="12" s="1"/>
  <c r="K135" i="12"/>
  <c r="K136" i="12" s="1"/>
  <c r="J135" i="12"/>
  <c r="J136" i="12" s="1"/>
  <c r="I135" i="12"/>
  <c r="I136" i="12" s="1"/>
  <c r="H135" i="12"/>
  <c r="F138" i="12"/>
  <c r="F135" i="12"/>
  <c r="B58" i="12" l="1"/>
  <c r="B117" i="12" s="1"/>
  <c r="F117" i="12" s="1"/>
  <c r="F124" i="12" s="1"/>
  <c r="F129" i="12" s="1"/>
  <c r="B118" i="12"/>
  <c r="F157" i="12"/>
  <c r="I150" i="12"/>
  <c r="H157" i="12"/>
  <c r="I157" i="12"/>
  <c r="G157" i="12"/>
  <c r="G150" i="12"/>
  <c r="F150" i="12"/>
  <c r="C109" i="12"/>
  <c r="D57" i="12"/>
  <c r="C108" i="12"/>
  <c r="K129" i="12"/>
  <c r="G129" i="12"/>
  <c r="I143" i="12"/>
  <c r="J129" i="12"/>
  <c r="H129" i="12"/>
  <c r="L129" i="12"/>
  <c r="I129" i="12"/>
  <c r="M129" i="12"/>
  <c r="M143" i="12"/>
  <c r="H143" i="12"/>
  <c r="K143" i="12"/>
  <c r="G143" i="12"/>
  <c r="L143" i="12"/>
  <c r="J143" i="12"/>
  <c r="F143" i="12"/>
  <c r="F136" i="12"/>
  <c r="F44" i="12"/>
  <c r="G44" i="12" s="1"/>
  <c r="F45" i="12"/>
  <c r="F47" i="12"/>
  <c r="F48" i="12"/>
  <c r="F49" i="12"/>
  <c r="F50" i="12"/>
  <c r="F51" i="12"/>
  <c r="F52" i="12"/>
  <c r="F53" i="12"/>
  <c r="F54" i="12"/>
  <c r="F55" i="12"/>
  <c r="F56" i="12"/>
  <c r="F46" i="12"/>
  <c r="F122" i="12" l="1"/>
  <c r="G53" i="12"/>
  <c r="G49" i="12"/>
  <c r="G48" i="12"/>
  <c r="G52" i="12"/>
  <c r="G46" i="12"/>
  <c r="G55" i="12"/>
  <c r="G51" i="12"/>
  <c r="G47" i="12"/>
  <c r="F43" i="12"/>
  <c r="G43" i="12" s="1"/>
  <c r="G54" i="12"/>
  <c r="G50" i="12"/>
  <c r="G45" i="12"/>
  <c r="G56" i="12"/>
  <c r="F57" i="12" l="1"/>
  <c r="G57" i="12" l="1"/>
  <c r="C111" i="12" s="1"/>
  <c r="C112" i="12" s="1"/>
  <c r="B120" i="12" l="1"/>
  <c r="C99" i="12" l="1"/>
  <c r="B119" i="12" l="1"/>
  <c r="C113" i="12"/>
  <c r="C100" i="12"/>
  <c r="F69" i="12" l="1"/>
  <c r="C114" i="12"/>
  <c r="B122" i="12" s="1"/>
  <c r="B121" i="12"/>
</calcChain>
</file>

<file path=xl/sharedStrings.xml><?xml version="1.0" encoding="utf-8"?>
<sst xmlns="http://schemas.openxmlformats.org/spreadsheetml/2006/main" count="638" uniqueCount="329">
  <si>
    <t>Markberedning</t>
  </si>
  <si>
    <t>El</t>
  </si>
  <si>
    <t>Plantor</t>
  </si>
  <si>
    <t>Gödsel</t>
  </si>
  <si>
    <t>Vatten</t>
  </si>
  <si>
    <t>Kyllager</t>
  </si>
  <si>
    <t>Energiväv</t>
  </si>
  <si>
    <t>Klimatstyrning</t>
  </si>
  <si>
    <t>Gödselblandare</t>
  </si>
  <si>
    <t>Bevattningsanläggning</t>
  </si>
  <si>
    <t>Vagnar</t>
  </si>
  <si>
    <t>Sorteringsutrustning</t>
  </si>
  <si>
    <t>Samkostnader</t>
  </si>
  <si>
    <t>Co2</t>
  </si>
  <si>
    <t>Analyser</t>
  </si>
  <si>
    <t>kg</t>
  </si>
  <si>
    <t>Humlor</t>
  </si>
  <si>
    <t>Transporter</t>
  </si>
  <si>
    <t>Försäljningskostnader</t>
  </si>
  <si>
    <t>Särkostnader</t>
  </si>
  <si>
    <t xml:space="preserve">Täckningsbidrag </t>
  </si>
  <si>
    <t>Biologiskt växtskydd</t>
  </si>
  <si>
    <t xml:space="preserve">Certifiering </t>
  </si>
  <si>
    <t>Underhåll</t>
  </si>
  <si>
    <t>Avskrivning inventarier</t>
  </si>
  <si>
    <t>Räntor</t>
  </si>
  <si>
    <t>Summa samkostnader</t>
  </si>
  <si>
    <t>Intäkter</t>
  </si>
  <si>
    <t>Studiebesök</t>
  </si>
  <si>
    <t>Administration (försäkring, redovisning, webb etc)</t>
  </si>
  <si>
    <t xml:space="preserve">Geoteknisk undersökning </t>
  </si>
  <si>
    <t>Medelvärde</t>
  </si>
  <si>
    <t>Markpris</t>
  </si>
  <si>
    <t>Växthust (stomme med täckmaterial)</t>
  </si>
  <si>
    <t>Vattenreningsanläggning (konventionell)</t>
  </si>
  <si>
    <t>Filmningsutrustning (gurka)</t>
  </si>
  <si>
    <t>Summa (kr/m2)</t>
  </si>
  <si>
    <t>Diverse material</t>
  </si>
  <si>
    <t>Ränta driftskapital (3%ränta)</t>
  </si>
  <si>
    <t xml:space="preserve">Emballage </t>
  </si>
  <si>
    <t>Summa särkostnader (kr/m2)</t>
  </si>
  <si>
    <t>enhet/m2</t>
  </si>
  <si>
    <t>enhet</t>
  </si>
  <si>
    <t>Substrat</t>
  </si>
  <si>
    <t>Avskrivningstid</t>
  </si>
  <si>
    <t>Summa (årskostnad/m2)</t>
  </si>
  <si>
    <t>Intäkt 1</t>
  </si>
  <si>
    <t xml:space="preserve">Utbildning </t>
  </si>
  <si>
    <t>Summa 1</t>
  </si>
  <si>
    <t>Summa 2, R=0</t>
  </si>
  <si>
    <t>Resultat 1</t>
  </si>
  <si>
    <t>Hyra</t>
  </si>
  <si>
    <t>Arrende</t>
  </si>
  <si>
    <t>Återbetalningstid</t>
  </si>
  <si>
    <t>Ränta</t>
  </si>
  <si>
    <t xml:space="preserve">Investeringskostnader </t>
  </si>
  <si>
    <t>Koncept 1 - värmesystem</t>
  </si>
  <si>
    <t>Area (m2)</t>
  </si>
  <si>
    <t xml:space="preserve">Annuitetsfaktor  </t>
  </si>
  <si>
    <t>Försäljningspris Tomat (runda/körsbär 50-50) (kr/kg)</t>
  </si>
  <si>
    <t>Försäljningspris Paprika (medel av röd/grul/grön/orange)(kr/kg)</t>
  </si>
  <si>
    <t xml:space="preserve">Variabler </t>
  </si>
  <si>
    <t>Energibehov (kWh/m2)</t>
  </si>
  <si>
    <t>Energipris restvärme (kr/kWh)</t>
  </si>
  <si>
    <t>Energipris returvärme (kr/kWh)</t>
  </si>
  <si>
    <t>Energipris fjärrvärme (kr/kWh)</t>
  </si>
  <si>
    <t>Grundinvesteringen (kr)</t>
  </si>
  <si>
    <t>Arbetskostnad (kr/m2)</t>
  </si>
  <si>
    <t>Substrat konventionell (kr/m2)</t>
  </si>
  <si>
    <t>Substrat ekologisk (kr/m2)</t>
  </si>
  <si>
    <t xml:space="preserve">Driftskalkyl Koncept 1 </t>
  </si>
  <si>
    <t xml:space="preserve">Arbete </t>
  </si>
  <si>
    <t>Plantor konventionell odling tomat (kr/m2)</t>
  </si>
  <si>
    <t>Co2 (kr/m2)</t>
  </si>
  <si>
    <t>Plantor ekologisk odling tomat (kr/m2)</t>
  </si>
  <si>
    <t>Plantor konventionell odling gurka (kr/m2)</t>
  </si>
  <si>
    <t>Plantor ekologisk odling gurka (kr/m2)</t>
  </si>
  <si>
    <t>Plantor konventionell odling paprika (kr/m2)</t>
  </si>
  <si>
    <t>Plantor ekologisk odling paprika (kr/m2)</t>
  </si>
  <si>
    <t>pris/m2</t>
  </si>
  <si>
    <t>Elpris (kr/m2)</t>
  </si>
  <si>
    <t>Hyra (50kr/m2)</t>
  </si>
  <si>
    <t>Arrende av mark (10/m2)</t>
  </si>
  <si>
    <t>Årlig räntekostnad/m2</t>
  </si>
  <si>
    <t>Avskrivning bevattning</t>
  </si>
  <si>
    <t>Totalt</t>
  </si>
  <si>
    <t>Återbetalningstid (år)</t>
  </si>
  <si>
    <t>Grundinvestering (kr)</t>
  </si>
  <si>
    <t>Intäkter (kr)</t>
  </si>
  <si>
    <t>Särkostnader (kr)</t>
  </si>
  <si>
    <t>Samkostnader (kr)</t>
  </si>
  <si>
    <t>Resultat (kr)</t>
  </si>
  <si>
    <t>Skördenivå konventionell odling tomat (kg/m2)</t>
  </si>
  <si>
    <t>Försäljningspris Gurka (kr/kg)</t>
  </si>
  <si>
    <t>Skördenivå ekologisk odling tomat (kg/m2)</t>
  </si>
  <si>
    <t>Skördenivå konventionell odling gurka (kg/m2)</t>
  </si>
  <si>
    <t>Skördenivå ekologisk odling gurka (kg/m2)</t>
  </si>
  <si>
    <t>Skördenivå konventionell odling paprika (kg/m2)</t>
  </si>
  <si>
    <t>Skördenivå ekologisk odling paprika (kg/m2)</t>
  </si>
  <si>
    <t>Försäljningspris ekologisk Tomat (runda/körsbär 50-50)</t>
  </si>
  <si>
    <t>Försäljningspris eko Gurka (kr/kg)</t>
  </si>
  <si>
    <t>Försäljningspris eko Paprika (medel av röd/grul/grön/orange)(kr/kg)</t>
  </si>
  <si>
    <t>Energipris (20 procent)</t>
  </si>
  <si>
    <t>Energipris (80 procent)</t>
  </si>
  <si>
    <t>Linjär avskrivningskostnad/år/m2</t>
  </si>
  <si>
    <t xml:space="preserve"> (kr/m2)</t>
  </si>
  <si>
    <t>Kapitalkostnad/år/m2</t>
  </si>
  <si>
    <t xml:space="preserve">Avskrivning växthus mm </t>
  </si>
  <si>
    <t>-</t>
  </si>
  <si>
    <t>Restvärme Ekologisk odling</t>
  </si>
  <si>
    <t>Koncept 1a1  Tomat</t>
  </si>
  <si>
    <t>Koncept 1a2 Gurka</t>
  </si>
  <si>
    <t>Koncept 1a3 Paprika</t>
  </si>
  <si>
    <t>Koncept 1a4             Tom-Gurk-Papr</t>
  </si>
  <si>
    <t>Koncept 1b1 Tomat</t>
  </si>
  <si>
    <t>Koncept 1b2 Gurka</t>
  </si>
  <si>
    <t>Koncept 1b3 Paprika</t>
  </si>
  <si>
    <t>Koncept 1b4                           Tom-Gurk-Papr</t>
  </si>
  <si>
    <t>Koncept 1c1 Tomat</t>
  </si>
  <si>
    <t>Koncept 1c2 Gurka</t>
  </si>
  <si>
    <t>Koncept 1c3 Paprika</t>
  </si>
  <si>
    <t>Koncept 1c4                           Tom-Gurk-Papr</t>
  </si>
  <si>
    <t xml:space="preserve">Restvärme konventionell odling </t>
  </si>
  <si>
    <t>Returvärme konventionell odling</t>
  </si>
  <si>
    <t>Koncept 2a1  Tomat</t>
  </si>
  <si>
    <t>Koncept 2a2 Gurka</t>
  </si>
  <si>
    <t>Koncept 2a3 Paprika</t>
  </si>
  <si>
    <t>Koncept 2a4             Tom-Gurk-Papr</t>
  </si>
  <si>
    <t>Koncept 2b1 Tomat</t>
  </si>
  <si>
    <t>Koncept 2b2 Gurka</t>
  </si>
  <si>
    <t>Koncept 2b3 Paprika</t>
  </si>
  <si>
    <t>Koncept 2b4                           Tom-Gurk-Papr</t>
  </si>
  <si>
    <t>Koncept 2c1 Tomat</t>
  </si>
  <si>
    <t>Koncept 2c2 Gurka</t>
  </si>
  <si>
    <t>Koncept 2c3 Paprika</t>
  </si>
  <si>
    <t>Koncept 2c4                           Tom-Gurk-Papr</t>
  </si>
  <si>
    <t>Returvärme Ekologisk odling</t>
  </si>
  <si>
    <t>energipris olja (kr/kWh)</t>
  </si>
  <si>
    <t>Energipris flis (kr/kWh)</t>
  </si>
  <si>
    <t>Koncept 3a1  Tomat</t>
  </si>
  <si>
    <t>Koncept 3a2 Gurka</t>
  </si>
  <si>
    <t>Koncept 3a3 Paprika</t>
  </si>
  <si>
    <t>Koncept 3a4             Tom-Gurk-Papr</t>
  </si>
  <si>
    <t>Koncept 3b1 Tomat</t>
  </si>
  <si>
    <t>Koncept 3b2 Gurka</t>
  </si>
  <si>
    <t>Koncept 3b3 Paprika</t>
  </si>
  <si>
    <t>Koncept 3b4                           Tom-Gurk-Papr</t>
  </si>
  <si>
    <t>Koncept 3c1 Tomat</t>
  </si>
  <si>
    <t>Koncept 3c2 Gurka</t>
  </si>
  <si>
    <t>Koncept 3c3 Paprika</t>
  </si>
  <si>
    <t>Koncept 3c4                           Tom-Gurk-Papr</t>
  </si>
  <si>
    <t>Flisp och oljepanna konventionell odling</t>
  </si>
  <si>
    <t>Flis och oljepanna ekologisk odling</t>
  </si>
  <si>
    <t>Summa (kr)</t>
  </si>
  <si>
    <t>Koncept 1 - värmesystem (kr/m2)</t>
  </si>
  <si>
    <t>Koncept 2 - värmesystem (kr/m2)</t>
  </si>
  <si>
    <t>koncept 3 - flis och oljepanna (kr/m2)</t>
  </si>
  <si>
    <t>Koncept 1a1  Tomat, fördubbling av investeringskostnaden (värmesystemet)  och energibehovet</t>
  </si>
  <si>
    <t>Koncept 1a1  Tomat, fördubbling av investeringskostnaden (värmesystemet)</t>
  </si>
  <si>
    <t>Koncept 1a1  Tomat, halverat skörd</t>
  </si>
  <si>
    <t>Koncept 1a1  Tomat, 50% mer arbetskraft</t>
  </si>
  <si>
    <t xml:space="preserve">Restvärme ekologisk odling </t>
  </si>
  <si>
    <t>Kostnader</t>
  </si>
  <si>
    <t>Löner</t>
  </si>
  <si>
    <t>Lön + soc.av.</t>
  </si>
  <si>
    <t>Året 1.</t>
  </si>
  <si>
    <t>Året 2.</t>
  </si>
  <si>
    <t>Verksamhetsledare 100%</t>
  </si>
  <si>
    <t>Handledare/utbildningsansvarig50 %</t>
  </si>
  <si>
    <t>Lärare/SFI/yrkessvenska 50%</t>
  </si>
  <si>
    <t>Ekonomi/administration 50%</t>
  </si>
  <si>
    <t>Terapeut 500 kr/tim 100 timmar/år</t>
  </si>
  <si>
    <t>Övrigt
hyra, el, transport, inventarier,
reseräkning, förbrukningsmaterial,</t>
  </si>
  <si>
    <t>5 anställda med stöd (AF)
lön 17 293 kr/månad</t>
  </si>
  <si>
    <t>Total</t>
  </si>
  <si>
    <t>Arbetsförmedlingen</t>
  </si>
  <si>
    <t>Arbetsprövning, -träning
(10 personer)</t>
  </si>
  <si>
    <t>Pratik (10 personer i heltid)</t>
  </si>
  <si>
    <t>Anställning (70% lönebidrag, 5 per.</t>
  </si>
  <si>
    <t>Försäljning</t>
  </si>
  <si>
    <t>Resultat (Intäkter-kostander)</t>
  </si>
  <si>
    <r>
      <rPr>
        <b/>
        <sz val="11"/>
        <color theme="1"/>
        <rFont val="Calibri"/>
        <family val="2"/>
        <scheme val="minor"/>
      </rPr>
      <t>Växjö kommun</t>
    </r>
    <r>
      <rPr>
        <sz val="11"/>
        <color theme="1"/>
        <rFont val="Calibri"/>
        <family val="2"/>
        <scheme val="minor"/>
      </rPr>
      <t xml:space="preserve"> (VU, heltid, 10 pers.)</t>
    </r>
  </si>
  <si>
    <t>kr/m2</t>
  </si>
  <si>
    <t>Summa</t>
  </si>
  <si>
    <t>Resultat</t>
  </si>
  <si>
    <t>Kostnader och intäkter för socialt företag</t>
  </si>
  <si>
    <t xml:space="preserve">Terapeut 500 kr/tim 100 timmar/år </t>
  </si>
  <si>
    <t>intäkt (kr)/enhet</t>
  </si>
  <si>
    <t>m2</t>
  </si>
  <si>
    <t>35 personer på</t>
  </si>
  <si>
    <t xml:space="preserve">Kostnad </t>
  </si>
  <si>
    <t>Notering</t>
  </si>
  <si>
    <t>beräknas utifrån antal anställda, 50000 kr för 35 personer borde alltså för per person kosta ca 1428kr räknas om till kr/m2</t>
  </si>
  <si>
    <t>samma oavsett area räknas om till kr/m2</t>
  </si>
  <si>
    <t>baserade på 10000m2 räknas om till kr/m2</t>
  </si>
  <si>
    <t>Socialt företag - Verksamhetsledare 100%</t>
  </si>
  <si>
    <t>Socialt företag - Handledare/utbildningsansvarig50 %</t>
  </si>
  <si>
    <t>Socialt företag - Lärare/SFI/yrkessvenska 50%</t>
  </si>
  <si>
    <t>Socialt företag - Ekonomi/administration 50%</t>
  </si>
  <si>
    <t>Socialt företag - Terapeut 500 kr/tim 100 timmar/år</t>
  </si>
  <si>
    <t>Socialt företag - 5 anställda med stöd (AF)
lön 17 293 kr/månad</t>
  </si>
  <si>
    <t>Socialt företag - Arbetsprövning, träning</t>
  </si>
  <si>
    <t>Socialt företag - Praktik</t>
  </si>
  <si>
    <t>Socialt företag - Anställning lönebidrag</t>
  </si>
  <si>
    <t>Socialt företag - VU heltid</t>
  </si>
  <si>
    <t xml:space="preserve">Socialt företag med koncept 1 Restvärme konventionell odling </t>
  </si>
  <si>
    <t>Socialt företag med koncept 1 Restvärme Ekologisk odling</t>
  </si>
  <si>
    <t>Skördenivåer</t>
  </si>
  <si>
    <t>Konventionell odling (kg/m2)</t>
  </si>
  <si>
    <t>Minvärde</t>
  </si>
  <si>
    <t>Maxvärde</t>
  </si>
  <si>
    <t>Konventionell</t>
  </si>
  <si>
    <t>olika kg/m2 funna i litteraturen</t>
  </si>
  <si>
    <t>Tomater</t>
  </si>
  <si>
    <t>Tomat</t>
  </si>
  <si>
    <t>68,50, 34,32</t>
  </si>
  <si>
    <t>Gurka</t>
  </si>
  <si>
    <t>96,70,47,30,26</t>
  </si>
  <si>
    <t>Paprika</t>
  </si>
  <si>
    <t>12, 13,14,15,16,17,18,19,20,25,30</t>
  </si>
  <si>
    <t>Ekologisk odling (kg/m2)</t>
  </si>
  <si>
    <t>Physalis</t>
  </si>
  <si>
    <t>Ekologisk</t>
  </si>
  <si>
    <t>olika kg/m2 funna i litteraturen.</t>
  </si>
  <si>
    <t>12, 30,39</t>
  </si>
  <si>
    <t>Arbetstimmar</t>
  </si>
  <si>
    <t>Minvärde (tim/m2)</t>
  </si>
  <si>
    <t>Medelvärde (tim/m2)</t>
  </si>
  <si>
    <t>Maxväde (tim/m2)</t>
  </si>
  <si>
    <t>*baserat på 6 olika timantal på 3 olika areor och olding av 2 olika kulturer (500m2, 1000m2, 5000m2)</t>
  </si>
  <si>
    <t>Arbete</t>
  </si>
  <si>
    <t>tim/m2</t>
  </si>
  <si>
    <t xml:space="preserve">Minvärde </t>
  </si>
  <si>
    <t>Försäljningspriser i handeln (kr/kg)</t>
  </si>
  <si>
    <t xml:space="preserve">Konventionell </t>
  </si>
  <si>
    <t>Röd (coop)</t>
  </si>
  <si>
    <t>Röd (ica)</t>
  </si>
  <si>
    <t>röd (ica)</t>
  </si>
  <si>
    <t>röd (mathem)</t>
  </si>
  <si>
    <t>röd (handla24)</t>
  </si>
  <si>
    <t>Paprika (röd)</t>
  </si>
  <si>
    <t>Skillnad i pris (kr/kg)</t>
  </si>
  <si>
    <t>Skillnad i pris (faktor)</t>
  </si>
  <si>
    <t>40-40-20</t>
  </si>
  <si>
    <t>konve</t>
  </si>
  <si>
    <t>eko</t>
  </si>
  <si>
    <t>tomat</t>
  </si>
  <si>
    <t>gurka</t>
  </si>
  <si>
    <t>paprika</t>
  </si>
  <si>
    <t>Paprika (grön)</t>
  </si>
  <si>
    <t>Skillnad i pris</t>
  </si>
  <si>
    <t>Grön (coop)</t>
  </si>
  <si>
    <t>Pris</t>
  </si>
  <si>
    <t>intäkt</t>
  </si>
  <si>
    <t>Grön (ica)</t>
  </si>
  <si>
    <t>Grön (mathem)</t>
  </si>
  <si>
    <t>Paprika (gul)</t>
  </si>
  <si>
    <t>eko odling (kg/m2)</t>
  </si>
  <si>
    <t>Gul (mathem)</t>
  </si>
  <si>
    <t>Paprika (orange)</t>
  </si>
  <si>
    <t>Gul</t>
  </si>
  <si>
    <t>Gul (ica)</t>
  </si>
  <si>
    <t>Gul (handla24)</t>
  </si>
  <si>
    <t>Paprika (sk chilipeppar)</t>
  </si>
  <si>
    <t>Paprika (spetspaprika)</t>
  </si>
  <si>
    <t>Orange</t>
  </si>
  <si>
    <t>orange</t>
  </si>
  <si>
    <t>Orange (ica)</t>
  </si>
  <si>
    <t>Orange (mathem)</t>
  </si>
  <si>
    <t>Tomat (körsbär)</t>
  </si>
  <si>
    <t>Tomat (runda ej kvist)</t>
  </si>
  <si>
    <t>chilifrukt/peppar</t>
  </si>
  <si>
    <t>Chilipeppar</t>
  </si>
  <si>
    <t>chilipeppar (ica)</t>
  </si>
  <si>
    <t>spetspaprika (mathem)</t>
  </si>
  <si>
    <t>spetspaprika (handla24)</t>
  </si>
  <si>
    <t>spetspaprika (ica)</t>
  </si>
  <si>
    <t>Physillis</t>
  </si>
  <si>
    <t>Körsbärtomater (ica)</t>
  </si>
  <si>
    <t>körsbäsrtomater (ica)</t>
  </si>
  <si>
    <t>Körsbärtomater (mathem)</t>
  </si>
  <si>
    <t>Baby Plommon (ICA)</t>
  </si>
  <si>
    <t>Babyplommon (handla24)</t>
  </si>
  <si>
    <t>Baby plommontomater (mathem)</t>
  </si>
  <si>
    <t>Baby Plommon (Coop)</t>
  </si>
  <si>
    <t>Delight</t>
  </si>
  <si>
    <t>Gourmet</t>
  </si>
  <si>
    <t>Pärltomat</t>
  </si>
  <si>
    <t>Mickes bästa (lokalodlad)</t>
  </si>
  <si>
    <t>Vild tomat</t>
  </si>
  <si>
    <t>vilda tomater (ica)</t>
  </si>
  <si>
    <t>Kvist tomater (coop)</t>
  </si>
  <si>
    <t>kvisttomater (garant)</t>
  </si>
  <si>
    <t>kvisttomat (ica)</t>
  </si>
  <si>
    <t xml:space="preserve">Coctail kvist </t>
  </si>
  <si>
    <t>coctail kvist (mathem)</t>
  </si>
  <si>
    <t>Tomat svensk (coop)</t>
  </si>
  <si>
    <t>Tomat (willys/garant)</t>
  </si>
  <si>
    <t>tomater sverige (handla24)</t>
  </si>
  <si>
    <t>Tomat svensk (Ica)</t>
  </si>
  <si>
    <t xml:space="preserve">Tomat </t>
  </si>
  <si>
    <t>Tomater röda (mathem)</t>
  </si>
  <si>
    <t>Coctailtomater (garant)</t>
  </si>
  <si>
    <t>coctailtomater (coop)</t>
  </si>
  <si>
    <t>Bifftomat (mathem)</t>
  </si>
  <si>
    <t>bifftomater (handla24)</t>
  </si>
  <si>
    <t>Plommon (coop)</t>
  </si>
  <si>
    <t>Plommontomater (handla24)</t>
  </si>
  <si>
    <t>Plommontomater (ica)</t>
  </si>
  <si>
    <t>plommontomater (coop)</t>
  </si>
  <si>
    <t>Romantica tomater (mathem)</t>
  </si>
  <si>
    <t>Romantica tomater (handla24)</t>
  </si>
  <si>
    <t>Svensk (ICA)</t>
  </si>
  <si>
    <t>Svensk (Coop)</t>
  </si>
  <si>
    <t>Spanien (mathem)</t>
  </si>
  <si>
    <t>svensk (handla24)</t>
  </si>
  <si>
    <t>import (ica)</t>
  </si>
  <si>
    <t>gurka (ica)</t>
  </si>
  <si>
    <t>sverige</t>
  </si>
  <si>
    <t>Zucchini</t>
  </si>
  <si>
    <t>Zucchini (ICA)</t>
  </si>
  <si>
    <t>Zucchini (Coop)</t>
  </si>
  <si>
    <t>Zucchini (Ica)</t>
  </si>
  <si>
    <t>Physilis</t>
  </si>
  <si>
    <t>Torkad ekologisk</t>
  </si>
  <si>
    <t>Physalis (mathem)</t>
  </si>
  <si>
    <t>Physalis torkad eko (mathem)</t>
  </si>
  <si>
    <t>Physalis (handla24)</t>
  </si>
  <si>
    <t>Investeringskostnader vid nybyggnation exkl värmsystem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</si>
</sst>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kr&quot;;[Red]\-#,##0.00\ &quot;kr&quot;"/>
    <numFmt numFmtId="43" formatCode="_-* #,##0.00\ _k_r_-;\-* #,##0.00\ _k_r_-;_-* &quot;-&quot;??\ _k_r_-;_-@_-"/>
    <numFmt numFmtId="164" formatCode="_-* #,##0\ _k_r_-;\-* #,##0\ _k_r_-;_-* &quot;-&quot;??\ _k_r_-;_-@_-"/>
    <numFmt numFmtId="165" formatCode="0.0"/>
    <numFmt numFmtId="166" formatCode="0.0000"/>
    <numFmt numFmtId="167" formatCode="0.0_ ;[Red]\-0.0\ "/>
    <numFmt numFmtId="168" formatCode="#,##0.0"/>
    <numFmt numFmtId="169" formatCode="#,###"/>
    <numFmt numFmtId="170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rgb="FFCFE7F5"/>
      </patternFill>
    </fill>
    <fill>
      <patternFill patternType="solid">
        <fgColor theme="0"/>
        <bgColor rgb="FFE6E6FF"/>
      </patternFill>
    </fill>
    <fill>
      <patternFill patternType="solid">
        <fgColor theme="6" tint="0.59999389629810485"/>
        <bgColor rgb="FFCFE7F5"/>
      </patternFill>
    </fill>
    <fill>
      <patternFill patternType="solid">
        <fgColor theme="6" tint="0.59999389629810485"/>
        <bgColor rgb="FFE6E6FF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6" fillId="7" borderId="0" applyNumberFormat="0" applyBorder="0" applyAlignment="0" applyProtection="0"/>
  </cellStyleXfs>
  <cellXfs count="129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0" fillId="4" borderId="0" xfId="0" applyFill="1" applyBorder="1"/>
    <xf numFmtId="0" fontId="1" fillId="0" borderId="1" xfId="0" applyFont="1" applyFill="1" applyBorder="1"/>
    <xf numFmtId="0" fontId="1" fillId="0" borderId="1" xfId="0" applyFont="1" applyBorder="1"/>
    <xf numFmtId="0" fontId="1" fillId="2" borderId="0" xfId="0" applyFont="1" applyFill="1" applyBorder="1"/>
    <xf numFmtId="0" fontId="0" fillId="0" borderId="2" xfId="0" applyBorder="1"/>
    <xf numFmtId="0" fontId="0" fillId="0" borderId="2" xfId="0" applyFill="1" applyBorder="1"/>
    <xf numFmtId="0" fontId="1" fillId="0" borderId="2" xfId="0" applyFont="1" applyBorder="1"/>
    <xf numFmtId="0" fontId="0" fillId="0" borderId="0" xfId="0" applyAlignment="1">
      <alignment horizontal="center"/>
    </xf>
    <xf numFmtId="1" fontId="0" fillId="0" borderId="2" xfId="0" applyNumberFormat="1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Font="1" applyBorder="1"/>
    <xf numFmtId="0" fontId="0" fillId="2" borderId="0" xfId="0" applyFill="1"/>
    <xf numFmtId="0" fontId="0" fillId="2" borderId="0" xfId="0" applyFill="1" applyBorder="1"/>
    <xf numFmtId="43" fontId="0" fillId="0" borderId="0" xfId="0" applyNumberFormat="1" applyBorder="1"/>
    <xf numFmtId="0" fontId="0" fillId="0" borderId="2" xfId="0" applyFont="1" applyFill="1" applyBorder="1"/>
    <xf numFmtId="0" fontId="0" fillId="0" borderId="2" xfId="0" quotePrefix="1" applyBorder="1"/>
    <xf numFmtId="0" fontId="1" fillId="2" borderId="0" xfId="0" applyFont="1" applyFill="1" applyBorder="1" applyAlignment="1">
      <alignment horizontal="center"/>
    </xf>
    <xf numFmtId="8" fontId="0" fillId="0" borderId="2" xfId="0" applyNumberFormat="1" applyBorder="1"/>
    <xf numFmtId="0" fontId="0" fillId="0" borderId="3" xfId="0" applyFill="1" applyBorder="1"/>
    <xf numFmtId="0" fontId="0" fillId="0" borderId="3" xfId="0" applyBorder="1"/>
    <xf numFmtId="0" fontId="1" fillId="5" borderId="4" xfId="0" applyFont="1" applyFill="1" applyBorder="1"/>
    <xf numFmtId="0" fontId="1" fillId="5" borderId="5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1" fillId="4" borderId="2" xfId="0" applyFont="1" applyFill="1" applyBorder="1" applyAlignment="1">
      <alignment horizontal="center"/>
    </xf>
    <xf numFmtId="1" fontId="1" fillId="5" borderId="6" xfId="0" applyNumberFormat="1" applyFont="1" applyFill="1" applyBorder="1"/>
    <xf numFmtId="1" fontId="1" fillId="5" borderId="9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0" fontId="0" fillId="3" borderId="0" xfId="0" applyFill="1" applyBorder="1"/>
    <xf numFmtId="165" fontId="0" fillId="0" borderId="2" xfId="0" applyNumberFormat="1" applyBorder="1"/>
    <xf numFmtId="0" fontId="0" fillId="6" borderId="2" xfId="0" applyFill="1" applyBorder="1"/>
    <xf numFmtId="0" fontId="1" fillId="6" borderId="2" xfId="0" applyFont="1" applyFill="1" applyBorder="1" applyAlignment="1">
      <alignment horizontal="left"/>
    </xf>
    <xf numFmtId="8" fontId="1" fillId="6" borderId="2" xfId="0" applyNumberFormat="1" applyFont="1" applyFill="1" applyBorder="1"/>
    <xf numFmtId="1" fontId="0" fillId="0" borderId="0" xfId="0" applyNumberFormat="1"/>
    <xf numFmtId="0" fontId="0" fillId="0" borderId="10" xfId="0" applyFill="1" applyBorder="1"/>
    <xf numFmtId="165" fontId="0" fillId="0" borderId="0" xfId="0" applyNumberFormat="1" applyBorder="1"/>
    <xf numFmtId="166" fontId="0" fillId="0" borderId="2" xfId="0" applyNumberFormat="1" applyBorder="1"/>
    <xf numFmtId="10" fontId="0" fillId="0" borderId="2" xfId="0" applyNumberFormat="1" applyBorder="1"/>
    <xf numFmtId="2" fontId="0" fillId="0" borderId="2" xfId="0" applyNumberFormat="1" applyBorder="1"/>
    <xf numFmtId="0" fontId="1" fillId="5" borderId="2" xfId="0" applyFont="1" applyFill="1" applyBorder="1" applyAlignment="1">
      <alignment horizontal="center"/>
    </xf>
    <xf numFmtId="164" fontId="1" fillId="5" borderId="2" xfId="0" applyNumberFormat="1" applyFont="1" applyFill="1" applyBorder="1"/>
    <xf numFmtId="8" fontId="0" fillId="6" borderId="2" xfId="0" applyNumberFormat="1" applyFill="1" applyBorder="1" applyAlignment="1">
      <alignment horizontal="right" vertical="center"/>
    </xf>
    <xf numFmtId="3" fontId="0" fillId="0" borderId="2" xfId="0" applyNumberFormat="1" applyFont="1" applyBorder="1" applyAlignment="1">
      <alignment horizontal="right"/>
    </xf>
    <xf numFmtId="0" fontId="1" fillId="5" borderId="2" xfId="0" applyFont="1" applyFill="1" applyBorder="1"/>
    <xf numFmtId="0" fontId="3" fillId="0" borderId="2" xfId="0" applyFont="1" applyBorder="1"/>
    <xf numFmtId="8" fontId="0" fillId="0" borderId="0" xfId="0" applyNumberFormat="1"/>
    <xf numFmtId="3" fontId="0" fillId="6" borderId="2" xfId="0" applyNumberFormat="1" applyFill="1" applyBorder="1"/>
    <xf numFmtId="167" fontId="0" fillId="0" borderId="2" xfId="0" applyNumberFormat="1" applyBorder="1"/>
    <xf numFmtId="166" fontId="1" fillId="6" borderId="2" xfId="0" applyNumberFormat="1" applyFont="1" applyFill="1" applyBorder="1"/>
    <xf numFmtId="2" fontId="0" fillId="0" borderId="3" xfId="0" applyNumberFormat="1" applyBorder="1"/>
    <xf numFmtId="3" fontId="0" fillId="0" borderId="2" xfId="0" applyNumberFormat="1" applyFont="1" applyBorder="1"/>
    <xf numFmtId="3" fontId="0" fillId="0" borderId="2" xfId="0" applyNumberFormat="1" applyBorder="1"/>
    <xf numFmtId="3" fontId="1" fillId="5" borderId="2" xfId="0" applyNumberFormat="1" applyFont="1" applyFill="1" applyBorder="1" applyAlignment="1">
      <alignment horizontal="right" vertical="center"/>
    </xf>
    <xf numFmtId="3" fontId="0" fillId="0" borderId="2" xfId="0" applyNumberFormat="1" applyBorder="1" applyAlignment="1">
      <alignment horizontal="right"/>
    </xf>
    <xf numFmtId="1" fontId="1" fillId="3" borderId="0" xfId="0" applyNumberFormat="1" applyFont="1" applyFill="1" applyBorder="1"/>
    <xf numFmtId="0" fontId="0" fillId="3" borderId="0" xfId="0" applyFill="1"/>
    <xf numFmtId="0" fontId="1" fillId="3" borderId="0" xfId="0" applyFont="1" applyFill="1" applyBorder="1" applyAlignment="1">
      <alignment horizontal="center"/>
    </xf>
    <xf numFmtId="8" fontId="0" fillId="3" borderId="0" xfId="0" applyNumberFormat="1" applyFill="1" applyBorder="1"/>
    <xf numFmtId="164" fontId="1" fillId="3" borderId="0" xfId="0" applyNumberFormat="1" applyFont="1" applyFill="1" applyBorder="1"/>
    <xf numFmtId="168" fontId="0" fillId="0" borderId="2" xfId="0" applyNumberFormat="1" applyFont="1" applyBorder="1" applyAlignment="1">
      <alignment horizontal="right"/>
    </xf>
    <xf numFmtId="3" fontId="4" fillId="0" borderId="2" xfId="0" applyNumberFormat="1" applyFont="1" applyBorder="1"/>
    <xf numFmtId="3" fontId="4" fillId="0" borderId="2" xfId="0" applyNumberFormat="1" applyFont="1" applyBorder="1" applyAlignment="1">
      <alignment horizontal="right"/>
    </xf>
    <xf numFmtId="0" fontId="1" fillId="5" borderId="2" xfId="0" applyFont="1" applyFill="1" applyBorder="1" applyAlignment="1">
      <alignment horizontal="center" vertical="center" wrapText="1"/>
    </xf>
    <xf numFmtId="3" fontId="3" fillId="0" borderId="2" xfId="0" applyNumberFormat="1" applyFont="1" applyBorder="1"/>
    <xf numFmtId="0" fontId="1" fillId="5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ont="1" applyFill="1" applyBorder="1"/>
    <xf numFmtId="0" fontId="1" fillId="4" borderId="2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Font="1"/>
    <xf numFmtId="0" fontId="1" fillId="2" borderId="2" xfId="0" applyFont="1" applyFill="1" applyBorder="1"/>
    <xf numFmtId="0" fontId="0" fillId="8" borderId="2" xfId="0" applyFont="1" applyFill="1" applyBorder="1"/>
    <xf numFmtId="169" fontId="0" fillId="8" borderId="2" xfId="0" applyNumberFormat="1" applyFont="1" applyFill="1" applyBorder="1"/>
    <xf numFmtId="0" fontId="1" fillId="8" borderId="2" xfId="0" applyFont="1" applyFill="1" applyBorder="1"/>
    <xf numFmtId="169" fontId="1" fillId="8" borderId="2" xfId="0" applyNumberFormat="1" applyFont="1" applyFill="1" applyBorder="1"/>
    <xf numFmtId="0" fontId="0" fillId="3" borderId="2" xfId="0" applyFont="1" applyFill="1" applyBorder="1"/>
    <xf numFmtId="169" fontId="0" fillId="3" borderId="2" xfId="0" applyNumberFormat="1" applyFont="1" applyFill="1" applyBorder="1"/>
    <xf numFmtId="0" fontId="1" fillId="9" borderId="2" xfId="0" applyFont="1" applyFill="1" applyBorder="1"/>
    <xf numFmtId="169" fontId="0" fillId="9" borderId="2" xfId="0" applyNumberFormat="1" applyFont="1" applyFill="1" applyBorder="1"/>
    <xf numFmtId="169" fontId="1" fillId="9" borderId="2" xfId="0" applyNumberFormat="1" applyFont="1" applyFill="1" applyBorder="1"/>
    <xf numFmtId="0" fontId="0" fillId="9" borderId="2" xfId="0" applyFont="1" applyFill="1" applyBorder="1"/>
    <xf numFmtId="0" fontId="1" fillId="4" borderId="2" xfId="0" applyFont="1" applyFill="1" applyBorder="1"/>
    <xf numFmtId="169" fontId="0" fillId="4" borderId="2" xfId="0" applyNumberFormat="1" applyFont="1" applyFill="1" applyBorder="1"/>
    <xf numFmtId="0" fontId="1" fillId="10" borderId="2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164" fontId="6" fillId="7" borderId="0" xfId="2" applyNumberFormat="1" applyBorder="1" applyAlignment="1">
      <alignment horizontal="center"/>
    </xf>
    <xf numFmtId="165" fontId="0" fillId="0" borderId="3" xfId="0" applyNumberFormat="1" applyBorder="1"/>
    <xf numFmtId="4" fontId="0" fillId="8" borderId="2" xfId="0" applyNumberFormat="1" applyFont="1" applyFill="1" applyBorder="1"/>
    <xf numFmtId="169" fontId="0" fillId="8" borderId="2" xfId="0" applyNumberFormat="1" applyFont="1" applyFill="1" applyBorder="1" applyAlignment="1">
      <alignment wrapText="1"/>
    </xf>
    <xf numFmtId="0" fontId="0" fillId="8" borderId="2" xfId="0" applyFont="1" applyFill="1" applyBorder="1" applyAlignment="1">
      <alignment wrapText="1"/>
    </xf>
    <xf numFmtId="0" fontId="1" fillId="5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right"/>
    </xf>
    <xf numFmtId="0" fontId="7" fillId="0" borderId="0" xfId="0" applyFont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/>
    <xf numFmtId="0" fontId="8" fillId="2" borderId="2" xfId="0" applyFont="1" applyFill="1" applyBorder="1"/>
    <xf numFmtId="0" fontId="9" fillId="0" borderId="2" xfId="0" applyFont="1" applyBorder="1"/>
    <xf numFmtId="43" fontId="9" fillId="0" borderId="2" xfId="1" applyFont="1" applyBorder="1"/>
    <xf numFmtId="43" fontId="9" fillId="0" borderId="2" xfId="1" applyFont="1" applyBorder="1" applyAlignment="1">
      <alignment horizontal="center"/>
    </xf>
    <xf numFmtId="165" fontId="9" fillId="0" borderId="2" xfId="0" applyNumberFormat="1" applyFont="1" applyBorder="1"/>
    <xf numFmtId="43" fontId="9" fillId="0" borderId="2" xfId="0" applyNumberFormat="1" applyFont="1" applyBorder="1" applyAlignment="1">
      <alignment horizontal="center"/>
    </xf>
    <xf numFmtId="43" fontId="9" fillId="0" borderId="2" xfId="1" applyFont="1" applyBorder="1" applyAlignment="1">
      <alignment horizontal="right"/>
    </xf>
    <xf numFmtId="43" fontId="1" fillId="0" borderId="2" xfId="1" applyFont="1" applyBorder="1"/>
    <xf numFmtId="43" fontId="0" fillId="0" borderId="2" xfId="0" applyNumberFormat="1" applyBorder="1" applyAlignment="1">
      <alignment horizontal="center"/>
    </xf>
    <xf numFmtId="0" fontId="1" fillId="2" borderId="12" xfId="0" applyFont="1" applyFill="1" applyBorder="1"/>
    <xf numFmtId="0" fontId="1" fillId="0" borderId="11" xfId="0" applyFont="1" applyBorder="1"/>
    <xf numFmtId="165" fontId="0" fillId="3" borderId="0" xfId="0" applyNumberFormat="1" applyFill="1" applyBorder="1"/>
    <xf numFmtId="0" fontId="1" fillId="0" borderId="2" xfId="0" applyFont="1" applyBorder="1" applyAlignment="1">
      <alignment horizontal="left"/>
    </xf>
    <xf numFmtId="170" fontId="0" fillId="0" borderId="0" xfId="0" applyNumberFormat="1"/>
    <xf numFmtId="0" fontId="8" fillId="4" borderId="2" xfId="0" applyFont="1" applyFill="1" applyBorder="1"/>
    <xf numFmtId="0" fontId="8" fillId="4" borderId="2" xfId="0" applyFont="1" applyFill="1" applyBorder="1" applyAlignment="1">
      <alignment horizontal="center"/>
    </xf>
    <xf numFmtId="43" fontId="8" fillId="4" borderId="2" xfId="1" applyFont="1" applyFill="1" applyBorder="1"/>
  </cellXfs>
  <cellStyles count="3">
    <cellStyle name="60% - Dekorfärg5" xfId="2" builtinId="48"/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57"/>
  <sheetViews>
    <sheetView tabSelected="1" zoomScale="80" zoomScaleNormal="80" workbookViewId="0">
      <selection activeCell="F93" sqref="F93"/>
    </sheetView>
  </sheetViews>
  <sheetFormatPr defaultRowHeight="15" x14ac:dyDescent="0.25"/>
  <cols>
    <col min="1" max="1" width="69.5703125" bestFit="1" customWidth="1"/>
    <col min="2" max="2" width="20.85546875" customWidth="1"/>
    <col min="3" max="3" width="25.28515625" customWidth="1"/>
    <col min="4" max="4" width="19.7109375" customWidth="1"/>
    <col min="5" max="5" width="21.85546875" customWidth="1"/>
    <col min="6" max="6" width="25.7109375" customWidth="1"/>
    <col min="7" max="7" width="21.140625" customWidth="1"/>
    <col min="8" max="8" width="21.42578125" bestFit="1" customWidth="1"/>
    <col min="9" max="9" width="21.42578125" customWidth="1"/>
    <col min="10" max="10" width="19.28515625" customWidth="1"/>
    <col min="11" max="11" width="20.85546875" customWidth="1"/>
    <col min="12" max="12" width="22.28515625" customWidth="1"/>
    <col min="13" max="13" width="18" customWidth="1"/>
    <col min="14" max="14" width="12.28515625" bestFit="1" customWidth="1"/>
    <col min="15" max="15" width="11.85546875" bestFit="1" customWidth="1"/>
    <col min="17" max="17" width="11.85546875" bestFit="1" customWidth="1"/>
  </cols>
  <sheetData>
    <row r="3" spans="1:9" x14ac:dyDescent="0.25">
      <c r="A3" s="74" t="s">
        <v>61</v>
      </c>
      <c r="B3" s="49" t="s">
        <v>31</v>
      </c>
      <c r="C3" s="1"/>
      <c r="D3" s="1"/>
      <c r="E3" s="1"/>
      <c r="F3" s="1"/>
      <c r="G3" s="1"/>
      <c r="H3" s="1"/>
    </row>
    <row r="4" spans="1:9" x14ac:dyDescent="0.25">
      <c r="A4" s="12" t="s">
        <v>57</v>
      </c>
      <c r="B4" s="12">
        <v>1000</v>
      </c>
      <c r="E4" s="43"/>
      <c r="F4" s="43"/>
      <c r="G4" s="43"/>
      <c r="H4" s="43"/>
      <c r="I4" s="43"/>
    </row>
    <row r="5" spans="1:9" x14ac:dyDescent="0.25">
      <c r="A5" s="12" t="s">
        <v>54</v>
      </c>
      <c r="B5" s="47">
        <v>0.06</v>
      </c>
    </row>
    <row r="6" spans="1:9" x14ac:dyDescent="0.25">
      <c r="A6" s="12" t="s">
        <v>62</v>
      </c>
      <c r="B6" s="12">
        <f>450</f>
        <v>450</v>
      </c>
    </row>
    <row r="7" spans="1:9" x14ac:dyDescent="0.25">
      <c r="A7" s="12" t="s">
        <v>63</v>
      </c>
      <c r="B7" s="12">
        <v>0.24</v>
      </c>
    </row>
    <row r="8" spans="1:9" x14ac:dyDescent="0.25">
      <c r="A8" s="12" t="s">
        <v>64</v>
      </c>
      <c r="B8" s="12">
        <v>0.24</v>
      </c>
    </row>
    <row r="9" spans="1:9" x14ac:dyDescent="0.25">
      <c r="A9" s="12" t="s">
        <v>65</v>
      </c>
      <c r="B9" s="12">
        <f>0.82</f>
        <v>0.82</v>
      </c>
    </row>
    <row r="10" spans="1:9" x14ac:dyDescent="0.25">
      <c r="A10" s="12" t="s">
        <v>138</v>
      </c>
      <c r="B10" s="12">
        <v>0.19900000000000001</v>
      </c>
    </row>
    <row r="11" spans="1:9" x14ac:dyDescent="0.25">
      <c r="A11" s="12" t="s">
        <v>137</v>
      </c>
      <c r="B11" s="12">
        <v>1.5</v>
      </c>
    </row>
    <row r="12" spans="1:9" x14ac:dyDescent="0.25">
      <c r="A12" s="12" t="s">
        <v>80</v>
      </c>
      <c r="B12" s="12">
        <f>12*0.8644</f>
        <v>10.3728</v>
      </c>
    </row>
    <row r="13" spans="1:9" x14ac:dyDescent="0.25">
      <c r="A13" s="54" t="s">
        <v>59</v>
      </c>
      <c r="B13" s="54">
        <v>40.56</v>
      </c>
    </row>
    <row r="14" spans="1:9" x14ac:dyDescent="0.25">
      <c r="A14" s="54" t="s">
        <v>92</v>
      </c>
      <c r="B14" s="54">
        <v>46</v>
      </c>
    </row>
    <row r="15" spans="1:9" x14ac:dyDescent="0.25">
      <c r="A15" s="54" t="s">
        <v>99</v>
      </c>
      <c r="B15" s="54">
        <v>68.930000000000007</v>
      </c>
    </row>
    <row r="16" spans="1:9" x14ac:dyDescent="0.25">
      <c r="A16" s="54" t="s">
        <v>94</v>
      </c>
      <c r="B16" s="54">
        <v>27</v>
      </c>
    </row>
    <row r="17" spans="1:4" x14ac:dyDescent="0.25">
      <c r="A17" s="12" t="s">
        <v>93</v>
      </c>
      <c r="B17" s="12">
        <v>29.5</v>
      </c>
    </row>
    <row r="18" spans="1:4" x14ac:dyDescent="0.25">
      <c r="A18" s="12" t="s">
        <v>95</v>
      </c>
      <c r="B18" s="12">
        <v>54</v>
      </c>
    </row>
    <row r="19" spans="1:4" x14ac:dyDescent="0.25">
      <c r="A19" s="12" t="s">
        <v>100</v>
      </c>
      <c r="B19" s="12">
        <v>52.76</v>
      </c>
    </row>
    <row r="20" spans="1:4" x14ac:dyDescent="0.25">
      <c r="A20" s="12" t="s">
        <v>96</v>
      </c>
      <c r="B20" s="12">
        <v>28.5</v>
      </c>
    </row>
    <row r="21" spans="1:4" x14ac:dyDescent="0.25">
      <c r="A21" s="12" t="s">
        <v>60</v>
      </c>
      <c r="B21" s="12">
        <v>36.42</v>
      </c>
    </row>
    <row r="22" spans="1:4" x14ac:dyDescent="0.25">
      <c r="A22" s="12" t="s">
        <v>97</v>
      </c>
      <c r="B22" s="12">
        <v>18</v>
      </c>
    </row>
    <row r="23" spans="1:4" ht="15.75" customHeight="1" x14ac:dyDescent="0.25">
      <c r="A23" s="12" t="s">
        <v>101</v>
      </c>
      <c r="B23" s="12">
        <v>89.91</v>
      </c>
    </row>
    <row r="24" spans="1:4" x14ac:dyDescent="0.25">
      <c r="A24" s="12" t="s">
        <v>98</v>
      </c>
      <c r="B24" s="12">
        <v>12.6</v>
      </c>
    </row>
    <row r="25" spans="1:4" x14ac:dyDescent="0.25">
      <c r="A25" s="12" t="s">
        <v>67</v>
      </c>
      <c r="B25" s="12">
        <f>199.66</f>
        <v>199.66</v>
      </c>
    </row>
    <row r="26" spans="1:4" x14ac:dyDescent="0.25">
      <c r="A26" s="12" t="s">
        <v>72</v>
      </c>
      <c r="B26" s="44">
        <v>40</v>
      </c>
    </row>
    <row r="27" spans="1:4" x14ac:dyDescent="0.25">
      <c r="A27" s="12" t="s">
        <v>74</v>
      </c>
      <c r="B27" s="12">
        <v>39</v>
      </c>
    </row>
    <row r="28" spans="1:4" x14ac:dyDescent="0.25">
      <c r="A28" s="12" t="s">
        <v>75</v>
      </c>
      <c r="B28" s="12">
        <v>40</v>
      </c>
    </row>
    <row r="29" spans="1:4" x14ac:dyDescent="0.25">
      <c r="A29" s="12" t="s">
        <v>76</v>
      </c>
      <c r="B29" s="12">
        <v>40</v>
      </c>
    </row>
    <row r="30" spans="1:4" x14ac:dyDescent="0.25">
      <c r="A30" s="12" t="s">
        <v>77</v>
      </c>
      <c r="B30" s="12">
        <v>50</v>
      </c>
    </row>
    <row r="31" spans="1:4" x14ac:dyDescent="0.25">
      <c r="A31" s="12" t="s">
        <v>78</v>
      </c>
      <c r="B31" s="12">
        <v>50</v>
      </c>
      <c r="D31" s="55"/>
    </row>
    <row r="32" spans="1:4" x14ac:dyDescent="0.25">
      <c r="A32" s="12" t="s">
        <v>68</v>
      </c>
      <c r="B32" s="12">
        <v>10</v>
      </c>
    </row>
    <row r="33" spans="1:8" x14ac:dyDescent="0.25">
      <c r="A33" s="12" t="s">
        <v>69</v>
      </c>
      <c r="B33" s="16">
        <v>9.6</v>
      </c>
    </row>
    <row r="34" spans="1:8" x14ac:dyDescent="0.25">
      <c r="A34" s="12" t="s">
        <v>73</v>
      </c>
      <c r="B34" s="12">
        <v>60</v>
      </c>
    </row>
    <row r="35" spans="1:8" x14ac:dyDescent="0.25">
      <c r="A35" s="12" t="s">
        <v>81</v>
      </c>
      <c r="B35" s="12">
        <v>50</v>
      </c>
    </row>
    <row r="36" spans="1:8" x14ac:dyDescent="0.25">
      <c r="A36" s="12" t="s">
        <v>82</v>
      </c>
      <c r="B36" s="12">
        <v>10</v>
      </c>
    </row>
    <row r="37" spans="1:8" x14ac:dyDescent="0.25">
      <c r="A37" s="23" t="s">
        <v>154</v>
      </c>
      <c r="B37" s="17">
        <f>784000/B4</f>
        <v>784</v>
      </c>
    </row>
    <row r="38" spans="1:8" x14ac:dyDescent="0.25">
      <c r="A38" s="23" t="s">
        <v>155</v>
      </c>
      <c r="B38" s="12">
        <f>694000/B4</f>
        <v>694</v>
      </c>
    </row>
    <row r="39" spans="1:8" x14ac:dyDescent="0.25">
      <c r="A39" s="23" t="s">
        <v>156</v>
      </c>
      <c r="B39" s="12">
        <v>720</v>
      </c>
    </row>
    <row r="42" spans="1:8" x14ac:dyDescent="0.25">
      <c r="A42" s="53" t="s">
        <v>55</v>
      </c>
      <c r="B42" s="49" t="s">
        <v>105</v>
      </c>
      <c r="C42" s="53" t="s">
        <v>44</v>
      </c>
      <c r="D42" s="53" t="s">
        <v>104</v>
      </c>
      <c r="E42" s="53" t="s">
        <v>58</v>
      </c>
      <c r="F42" s="53" t="s">
        <v>106</v>
      </c>
      <c r="G42" s="53" t="s">
        <v>83</v>
      </c>
    </row>
    <row r="43" spans="1:8" x14ac:dyDescent="0.25">
      <c r="A43" s="23" t="s">
        <v>56</v>
      </c>
      <c r="B43" s="12">
        <f>B37</f>
        <v>784</v>
      </c>
      <c r="C43" s="12">
        <v>20</v>
      </c>
      <c r="D43" s="57">
        <f>B43/C43</f>
        <v>39.200000000000003</v>
      </c>
      <c r="E43" s="46">
        <f>($B$5/(1-(1+$B$5)^-C43))</f>
        <v>8.7184556976851402E-2</v>
      </c>
      <c r="F43" s="46">
        <f t="shared" ref="F43:F56" si="0">E43*B43</f>
        <v>68.352692669851493</v>
      </c>
      <c r="G43" s="26">
        <f t="shared" ref="G43:G56" si="1">F43-D43</f>
        <v>29.15269266985149</v>
      </c>
    </row>
    <row r="44" spans="1:8" x14ac:dyDescent="0.25">
      <c r="A44" s="12" t="s">
        <v>32</v>
      </c>
      <c r="B44" s="12">
        <v>500</v>
      </c>
      <c r="C44" s="24">
        <v>0</v>
      </c>
      <c r="D44" s="57">
        <v>0</v>
      </c>
      <c r="E44" s="46">
        <v>0</v>
      </c>
      <c r="F44" s="46">
        <f t="shared" si="0"/>
        <v>0</v>
      </c>
      <c r="G44" s="26">
        <f t="shared" si="1"/>
        <v>0</v>
      </c>
    </row>
    <row r="45" spans="1:8" x14ac:dyDescent="0.25">
      <c r="A45" s="12" t="s">
        <v>0</v>
      </c>
      <c r="B45" s="12">
        <v>2400</v>
      </c>
      <c r="C45" s="12">
        <v>20</v>
      </c>
      <c r="D45" s="57">
        <f t="shared" ref="D45:D56" si="2">B45/C45</f>
        <v>120</v>
      </c>
      <c r="E45" s="46">
        <f t="shared" ref="E45:E56" si="3">($B$5/(1-(1+$B$5)^-C45))</f>
        <v>8.7184556976851402E-2</v>
      </c>
      <c r="F45" s="46">
        <f t="shared" si="0"/>
        <v>209.24293674444337</v>
      </c>
      <c r="G45" s="26">
        <f t="shared" si="1"/>
        <v>89.242936744443369</v>
      </c>
    </row>
    <row r="46" spans="1:8" x14ac:dyDescent="0.25">
      <c r="A46" s="19" t="s">
        <v>30</v>
      </c>
      <c r="B46" s="12">
        <v>35</v>
      </c>
      <c r="C46" s="12">
        <v>20</v>
      </c>
      <c r="D46" s="57">
        <f t="shared" si="2"/>
        <v>1.75</v>
      </c>
      <c r="E46" s="46">
        <f t="shared" si="3"/>
        <v>8.7184556976851402E-2</v>
      </c>
      <c r="F46" s="46">
        <f t="shared" si="0"/>
        <v>3.0514594941897992</v>
      </c>
      <c r="G46" s="26">
        <f t="shared" si="1"/>
        <v>1.3014594941897992</v>
      </c>
    </row>
    <row r="47" spans="1:8" x14ac:dyDescent="0.25">
      <c r="A47" s="12" t="s">
        <v>33</v>
      </c>
      <c r="B47" s="12">
        <v>650</v>
      </c>
      <c r="C47" s="12">
        <v>20</v>
      </c>
      <c r="D47" s="57">
        <f t="shared" si="2"/>
        <v>32.5</v>
      </c>
      <c r="E47" s="46">
        <f t="shared" si="3"/>
        <v>8.7184556976851402E-2</v>
      </c>
      <c r="F47" s="46">
        <f t="shared" si="0"/>
        <v>56.669962034953414</v>
      </c>
      <c r="G47" s="26">
        <f t="shared" si="1"/>
        <v>24.169962034953414</v>
      </c>
    </row>
    <row r="48" spans="1:8" x14ac:dyDescent="0.25">
      <c r="A48" s="18" t="s">
        <v>6</v>
      </c>
      <c r="B48" s="16">
        <v>70</v>
      </c>
      <c r="C48" s="12">
        <v>10</v>
      </c>
      <c r="D48" s="57">
        <f t="shared" si="2"/>
        <v>7</v>
      </c>
      <c r="E48" s="46">
        <f t="shared" si="3"/>
        <v>0.13586795822038372</v>
      </c>
      <c r="F48" s="46">
        <f t="shared" si="0"/>
        <v>9.5107570754268611</v>
      </c>
      <c r="G48" s="26">
        <f t="shared" si="1"/>
        <v>2.5107570754268611</v>
      </c>
      <c r="H48" s="43"/>
    </row>
    <row r="49" spans="1:8" x14ac:dyDescent="0.25">
      <c r="A49" s="13" t="s">
        <v>9</v>
      </c>
      <c r="B49" s="12">
        <v>36</v>
      </c>
      <c r="C49" s="12">
        <v>5</v>
      </c>
      <c r="D49" s="57">
        <f t="shared" si="2"/>
        <v>7.2</v>
      </c>
      <c r="E49" s="46">
        <f t="shared" si="3"/>
        <v>0.23739640043118937</v>
      </c>
      <c r="F49" s="46">
        <f t="shared" si="0"/>
        <v>8.5462704155228177</v>
      </c>
      <c r="G49" s="26">
        <f t="shared" si="1"/>
        <v>1.3462704155228176</v>
      </c>
    </row>
    <row r="50" spans="1:8" x14ac:dyDescent="0.25">
      <c r="A50" s="12" t="s">
        <v>34</v>
      </c>
      <c r="B50" s="12">
        <v>0</v>
      </c>
      <c r="C50" s="12">
        <v>10</v>
      </c>
      <c r="D50" s="57">
        <f t="shared" si="2"/>
        <v>0</v>
      </c>
      <c r="E50" s="46">
        <f t="shared" si="3"/>
        <v>0.13586795822038372</v>
      </c>
      <c r="F50" s="46">
        <f t="shared" si="0"/>
        <v>0</v>
      </c>
      <c r="G50" s="26">
        <f t="shared" si="1"/>
        <v>0</v>
      </c>
    </row>
    <row r="51" spans="1:8" x14ac:dyDescent="0.25">
      <c r="A51" s="12" t="s">
        <v>7</v>
      </c>
      <c r="B51" s="12">
        <v>200</v>
      </c>
      <c r="C51" s="12">
        <v>10</v>
      </c>
      <c r="D51" s="57">
        <f t="shared" si="2"/>
        <v>20</v>
      </c>
      <c r="E51" s="46">
        <f t="shared" si="3"/>
        <v>0.13586795822038372</v>
      </c>
      <c r="F51" s="46">
        <f t="shared" si="0"/>
        <v>27.173591644076744</v>
      </c>
      <c r="G51" s="26">
        <f t="shared" si="1"/>
        <v>7.173591644076744</v>
      </c>
    </row>
    <row r="52" spans="1:8" x14ac:dyDescent="0.25">
      <c r="A52" s="12" t="s">
        <v>8</v>
      </c>
      <c r="B52" s="12">
        <v>45</v>
      </c>
      <c r="C52" s="12">
        <v>10</v>
      </c>
      <c r="D52" s="57">
        <f t="shared" si="2"/>
        <v>4.5</v>
      </c>
      <c r="E52" s="46">
        <f t="shared" si="3"/>
        <v>0.13586795822038372</v>
      </c>
      <c r="F52" s="46">
        <f t="shared" si="0"/>
        <v>6.1140581199172672</v>
      </c>
      <c r="G52" s="26">
        <f t="shared" si="1"/>
        <v>1.6140581199172672</v>
      </c>
    </row>
    <row r="53" spans="1:8" x14ac:dyDescent="0.25">
      <c r="A53" s="13" t="s">
        <v>10</v>
      </c>
      <c r="B53" s="12">
        <v>30</v>
      </c>
      <c r="C53" s="12">
        <v>10</v>
      </c>
      <c r="D53" s="57">
        <f t="shared" si="2"/>
        <v>3</v>
      </c>
      <c r="E53" s="46">
        <f t="shared" si="3"/>
        <v>0.13586795822038372</v>
      </c>
      <c r="F53" s="46">
        <f t="shared" si="0"/>
        <v>4.0760387466115118</v>
      </c>
      <c r="G53" s="26">
        <f t="shared" si="1"/>
        <v>1.0760387466115118</v>
      </c>
    </row>
    <row r="54" spans="1:8" x14ac:dyDescent="0.25">
      <c r="A54" s="13" t="s">
        <v>11</v>
      </c>
      <c r="B54" s="12">
        <v>24</v>
      </c>
      <c r="C54" s="12">
        <v>10</v>
      </c>
      <c r="D54" s="57">
        <f t="shared" si="2"/>
        <v>2.4</v>
      </c>
      <c r="E54" s="46">
        <f t="shared" si="3"/>
        <v>0.13586795822038372</v>
      </c>
      <c r="F54" s="46">
        <f t="shared" si="0"/>
        <v>3.2608309972892093</v>
      </c>
      <c r="G54" s="26">
        <f t="shared" si="1"/>
        <v>0.86083099728920942</v>
      </c>
    </row>
    <row r="55" spans="1:8" x14ac:dyDescent="0.25">
      <c r="A55" s="13" t="s">
        <v>5</v>
      </c>
      <c r="B55" s="12">
        <v>20</v>
      </c>
      <c r="C55" s="12">
        <v>10</v>
      </c>
      <c r="D55" s="57">
        <f t="shared" si="2"/>
        <v>2</v>
      </c>
      <c r="E55" s="46">
        <f t="shared" si="3"/>
        <v>0.13586795822038372</v>
      </c>
      <c r="F55" s="46">
        <f t="shared" si="0"/>
        <v>2.7173591644076742</v>
      </c>
      <c r="G55" s="26">
        <f t="shared" si="1"/>
        <v>0.71735916440767422</v>
      </c>
    </row>
    <row r="56" spans="1:8" x14ac:dyDescent="0.25">
      <c r="A56" s="13" t="s">
        <v>35</v>
      </c>
      <c r="B56" s="13">
        <v>0</v>
      </c>
      <c r="C56" s="12">
        <v>10</v>
      </c>
      <c r="D56" s="57">
        <f t="shared" si="2"/>
        <v>0</v>
      </c>
      <c r="E56" s="46">
        <f t="shared" si="3"/>
        <v>0.13586795822038372</v>
      </c>
      <c r="F56" s="46">
        <f t="shared" si="0"/>
        <v>0</v>
      </c>
      <c r="G56" s="26">
        <f t="shared" si="1"/>
        <v>0</v>
      </c>
      <c r="H56" s="44"/>
    </row>
    <row r="57" spans="1:8" x14ac:dyDescent="0.25">
      <c r="A57" s="41" t="s">
        <v>45</v>
      </c>
      <c r="B57" s="40"/>
      <c r="C57" s="40"/>
      <c r="D57" s="42">
        <f>SUM(D43:D56)</f>
        <v>239.54999999999998</v>
      </c>
      <c r="E57" s="40"/>
      <c r="F57" s="58">
        <f>SUM(F43:F56)</f>
        <v>398.71595710669015</v>
      </c>
      <c r="G57" s="42">
        <f>SUM(G43:G56)</f>
        <v>159.16595710669014</v>
      </c>
    </row>
    <row r="58" spans="1:8" x14ac:dyDescent="0.25">
      <c r="A58" s="41" t="s">
        <v>66</v>
      </c>
      <c r="B58" s="56">
        <f>SUM(B43:B56)*$B$4</f>
        <v>4794000</v>
      </c>
      <c r="C58" s="40"/>
      <c r="D58" s="51"/>
      <c r="E58" s="40"/>
      <c r="F58" s="40"/>
      <c r="G58" s="40"/>
    </row>
    <row r="59" spans="1:8" x14ac:dyDescent="0.25">
      <c r="F59" s="55"/>
    </row>
    <row r="60" spans="1:8" x14ac:dyDescent="0.25">
      <c r="A60" s="3"/>
      <c r="B60" s="3"/>
      <c r="C60" s="3"/>
      <c r="D60" s="3"/>
      <c r="E60" s="6"/>
      <c r="F60" s="6"/>
      <c r="G60" s="6"/>
    </row>
    <row r="61" spans="1:8" x14ac:dyDescent="0.25">
      <c r="A61" s="11" t="s">
        <v>27</v>
      </c>
      <c r="B61" s="25" t="s">
        <v>41</v>
      </c>
      <c r="C61" s="25" t="s">
        <v>187</v>
      </c>
      <c r="D61" s="25" t="s">
        <v>42</v>
      </c>
      <c r="E61" s="25" t="s">
        <v>85</v>
      </c>
      <c r="F61" s="25"/>
      <c r="G61" s="25"/>
    </row>
    <row r="62" spans="1:8" x14ac:dyDescent="0.25">
      <c r="A62" s="4" t="s">
        <v>46</v>
      </c>
      <c r="B62" s="4">
        <v>27</v>
      </c>
      <c r="C62" s="4">
        <v>68.930000000000007</v>
      </c>
      <c r="D62" s="4" t="s">
        <v>15</v>
      </c>
      <c r="E62" s="36">
        <f>B62*C62*B4</f>
        <v>1861110.0000000002</v>
      </c>
      <c r="F62" s="36"/>
      <c r="G62" s="36"/>
    </row>
    <row r="63" spans="1:8" x14ac:dyDescent="0.25">
      <c r="A63" s="4" t="s">
        <v>201</v>
      </c>
      <c r="B63" s="4">
        <v>1</v>
      </c>
      <c r="C63" s="4">
        <f>'Soc. Kostn Int till kalkylen'!B15</f>
        <v>75</v>
      </c>
      <c r="D63" s="4" t="s">
        <v>188</v>
      </c>
      <c r="E63" s="36">
        <f>B63*C63*$B$4</f>
        <v>75000</v>
      </c>
      <c r="F63" s="36"/>
      <c r="G63" s="36"/>
    </row>
    <row r="64" spans="1:8" x14ac:dyDescent="0.25">
      <c r="A64" s="4" t="s">
        <v>202</v>
      </c>
      <c r="B64" s="4">
        <v>1</v>
      </c>
      <c r="C64" s="4">
        <f>'Soc. Kostn Int till kalkylen'!B16</f>
        <v>37.5</v>
      </c>
      <c r="D64" s="4"/>
      <c r="E64" s="36">
        <f>B64*C64*$B$4</f>
        <v>37500</v>
      </c>
      <c r="F64" s="36"/>
      <c r="G64" s="36"/>
    </row>
    <row r="65" spans="1:7" x14ac:dyDescent="0.25">
      <c r="A65" s="4" t="s">
        <v>203</v>
      </c>
      <c r="B65" s="7">
        <v>1</v>
      </c>
      <c r="C65" s="4">
        <f>'Soc. Kostn Int till kalkylen'!B17</f>
        <v>105.21</v>
      </c>
      <c r="D65" s="4"/>
      <c r="E65" s="36">
        <f>B65*C65*$B$4</f>
        <v>105210</v>
      </c>
      <c r="F65" s="36"/>
      <c r="G65" s="36"/>
    </row>
    <row r="66" spans="1:7" x14ac:dyDescent="0.25">
      <c r="A66" s="7" t="s">
        <v>204</v>
      </c>
      <c r="B66" s="7">
        <v>1</v>
      </c>
      <c r="C66" s="4">
        <f>'Soc. Kostn Int till kalkylen'!B18</f>
        <v>80.2</v>
      </c>
      <c r="D66" s="4"/>
      <c r="E66" s="36">
        <f>B66*C66*$B$4</f>
        <v>80200</v>
      </c>
      <c r="F66" s="36"/>
      <c r="G66" s="36"/>
    </row>
    <row r="67" spans="1:7" x14ac:dyDescent="0.25">
      <c r="A67" s="7" t="s">
        <v>47</v>
      </c>
      <c r="B67" s="4">
        <v>1</v>
      </c>
      <c r="C67" s="4">
        <v>50000</v>
      </c>
      <c r="D67" s="7"/>
      <c r="E67" s="36">
        <v>0</v>
      </c>
      <c r="F67" s="36"/>
      <c r="G67" s="36"/>
    </row>
    <row r="68" spans="1:7" ht="15.75" thickBot="1" x14ac:dyDescent="0.3">
      <c r="A68" s="7" t="s">
        <v>28</v>
      </c>
      <c r="B68" s="4">
        <v>1</v>
      </c>
      <c r="C68" s="4">
        <v>50000</v>
      </c>
      <c r="D68" s="7"/>
      <c r="E68" s="36">
        <v>0</v>
      </c>
      <c r="F68" s="36"/>
      <c r="G68" s="36"/>
    </row>
    <row r="69" spans="1:7" ht="15.75" thickTop="1" x14ac:dyDescent="0.25">
      <c r="A69" s="9" t="s">
        <v>48</v>
      </c>
      <c r="B69" s="10"/>
      <c r="C69" s="10"/>
      <c r="D69" s="10"/>
      <c r="E69" s="37">
        <f>SUM(E62:E68)</f>
        <v>2159020</v>
      </c>
      <c r="F69" s="98">
        <f>C113</f>
        <v>261134.36289330985</v>
      </c>
      <c r="G69" s="98" t="s">
        <v>184</v>
      </c>
    </row>
    <row r="70" spans="1:7" x14ac:dyDescent="0.25">
      <c r="A70" s="6" t="s">
        <v>49</v>
      </c>
      <c r="B70" s="3"/>
      <c r="C70" s="3"/>
      <c r="D70" s="3"/>
      <c r="E70" s="36"/>
      <c r="F70" s="36"/>
      <c r="G70" s="36"/>
    </row>
    <row r="71" spans="1:7" x14ac:dyDescent="0.25">
      <c r="A71" s="3"/>
      <c r="B71" s="3"/>
      <c r="C71" s="3"/>
      <c r="D71" s="3"/>
    </row>
    <row r="72" spans="1:7" x14ac:dyDescent="0.25">
      <c r="A72" s="5"/>
      <c r="B72" s="2"/>
      <c r="C72" s="2"/>
      <c r="D72" s="2"/>
    </row>
    <row r="73" spans="1:7" x14ac:dyDescent="0.25">
      <c r="A73" s="2"/>
      <c r="B73" s="2"/>
      <c r="C73" s="2"/>
      <c r="D73" s="2"/>
    </row>
    <row r="74" spans="1:7" x14ac:dyDescent="0.25">
      <c r="A74" s="11" t="s">
        <v>70</v>
      </c>
      <c r="B74" s="21"/>
      <c r="C74" s="20"/>
      <c r="D74" s="20"/>
    </row>
    <row r="75" spans="1:7" x14ac:dyDescent="0.25">
      <c r="A75" s="33" t="s">
        <v>19</v>
      </c>
      <c r="B75" s="33" t="s">
        <v>79</v>
      </c>
      <c r="C75" s="33" t="s">
        <v>36</v>
      </c>
      <c r="D75" s="8"/>
    </row>
    <row r="76" spans="1:7" x14ac:dyDescent="0.25">
      <c r="A76" s="23" t="s">
        <v>71</v>
      </c>
      <c r="B76" s="39">
        <f>B25</f>
        <v>199.66</v>
      </c>
      <c r="C76" s="39">
        <v>0</v>
      </c>
      <c r="D76" s="45"/>
    </row>
    <row r="77" spans="1:7" x14ac:dyDescent="0.25">
      <c r="A77" s="13" t="s">
        <v>103</v>
      </c>
      <c r="B77" s="39">
        <f>B6*B8*0.8</f>
        <v>86.4</v>
      </c>
      <c r="C77" s="39">
        <f t="shared" ref="C76:C98" si="4">B77*$B$4</f>
        <v>86400</v>
      </c>
      <c r="D77" s="22"/>
    </row>
    <row r="78" spans="1:7" x14ac:dyDescent="0.25">
      <c r="A78" s="13" t="s">
        <v>102</v>
      </c>
      <c r="B78" s="39">
        <f>0.2*B6*B9</f>
        <v>73.8</v>
      </c>
      <c r="C78" s="39">
        <f t="shared" si="4"/>
        <v>73800</v>
      </c>
      <c r="D78" s="22"/>
    </row>
    <row r="79" spans="1:7" x14ac:dyDescent="0.25">
      <c r="A79" s="23" t="s">
        <v>1</v>
      </c>
      <c r="B79" s="39">
        <f>B12</f>
        <v>10.3728</v>
      </c>
      <c r="C79" s="39">
        <f t="shared" si="4"/>
        <v>10372.799999999999</v>
      </c>
      <c r="D79" s="45"/>
      <c r="E79" s="81"/>
    </row>
    <row r="80" spans="1:7" x14ac:dyDescent="0.25">
      <c r="A80" s="23" t="s">
        <v>4</v>
      </c>
      <c r="B80" s="39">
        <f>0.9*9</f>
        <v>8.1</v>
      </c>
      <c r="C80" s="39">
        <f t="shared" si="4"/>
        <v>8100</v>
      </c>
      <c r="D80" s="2"/>
    </row>
    <row r="81" spans="1:8" x14ac:dyDescent="0.25">
      <c r="A81" s="12" t="s">
        <v>2</v>
      </c>
      <c r="B81" s="39">
        <v>40</v>
      </c>
      <c r="C81" s="39">
        <f t="shared" si="4"/>
        <v>40000</v>
      </c>
      <c r="D81" s="2"/>
    </row>
    <row r="82" spans="1:8" x14ac:dyDescent="0.25">
      <c r="A82" s="12" t="s">
        <v>37</v>
      </c>
      <c r="B82" s="12">
        <v>5</v>
      </c>
      <c r="C82" s="39">
        <f t="shared" si="4"/>
        <v>5000</v>
      </c>
      <c r="D82" s="2"/>
    </row>
    <row r="83" spans="1:8" x14ac:dyDescent="0.25">
      <c r="A83" s="12" t="s">
        <v>43</v>
      </c>
      <c r="B83" s="12">
        <v>10</v>
      </c>
      <c r="C83" s="39">
        <f t="shared" si="4"/>
        <v>10000</v>
      </c>
      <c r="D83" s="2"/>
    </row>
    <row r="84" spans="1:8" x14ac:dyDescent="0.25">
      <c r="A84" s="12" t="s">
        <v>3</v>
      </c>
      <c r="B84" s="12">
        <v>8</v>
      </c>
      <c r="C84" s="39">
        <f t="shared" si="4"/>
        <v>8000</v>
      </c>
      <c r="D84" s="2"/>
    </row>
    <row r="85" spans="1:8" x14ac:dyDescent="0.25">
      <c r="A85" s="12" t="s">
        <v>13</v>
      </c>
      <c r="B85" s="12">
        <v>60</v>
      </c>
      <c r="C85" s="39">
        <f t="shared" si="4"/>
        <v>60000</v>
      </c>
      <c r="D85" s="2"/>
    </row>
    <row r="86" spans="1:8" x14ac:dyDescent="0.25">
      <c r="A86" s="12" t="s">
        <v>21</v>
      </c>
      <c r="B86" s="12">
        <v>4</v>
      </c>
      <c r="C86" s="39">
        <f t="shared" si="4"/>
        <v>4000</v>
      </c>
      <c r="D86" s="2"/>
    </row>
    <row r="87" spans="1:8" x14ac:dyDescent="0.25">
      <c r="A87" s="12" t="s">
        <v>16</v>
      </c>
      <c r="B87" s="12">
        <f>625*0.0032</f>
        <v>2</v>
      </c>
      <c r="C87" s="39">
        <f t="shared" si="4"/>
        <v>2000</v>
      </c>
      <c r="D87" s="2"/>
    </row>
    <row r="88" spans="1:8" x14ac:dyDescent="0.25">
      <c r="A88" s="13" t="s">
        <v>14</v>
      </c>
      <c r="B88" s="12">
        <v>1.6</v>
      </c>
      <c r="C88" s="39">
        <f t="shared" si="4"/>
        <v>1600</v>
      </c>
      <c r="D88" s="2"/>
    </row>
    <row r="89" spans="1:8" x14ac:dyDescent="0.25">
      <c r="A89" s="13" t="s">
        <v>38</v>
      </c>
      <c r="B89" s="12">
        <f>200*0.03</f>
        <v>6</v>
      </c>
      <c r="C89" s="39">
        <f t="shared" si="4"/>
        <v>6000</v>
      </c>
      <c r="D89" s="2"/>
    </row>
    <row r="90" spans="1:8" x14ac:dyDescent="0.25">
      <c r="A90" s="13" t="s">
        <v>39</v>
      </c>
      <c r="B90" s="12">
        <f>3.25*7</f>
        <v>22.75</v>
      </c>
      <c r="C90" s="39">
        <f t="shared" si="4"/>
        <v>22750</v>
      </c>
      <c r="D90" s="2"/>
    </row>
    <row r="91" spans="1:8" x14ac:dyDescent="0.25">
      <c r="A91" s="13" t="s">
        <v>17</v>
      </c>
      <c r="B91" s="12">
        <f>40*0.5</f>
        <v>20</v>
      </c>
      <c r="C91" s="39">
        <f t="shared" si="4"/>
        <v>20000</v>
      </c>
      <c r="D91" s="38"/>
    </row>
    <row r="92" spans="1:8" x14ac:dyDescent="0.25">
      <c r="A92" s="84" t="s">
        <v>195</v>
      </c>
      <c r="B92" s="99">
        <f>'Soc. Kostn Int till kalkylen'!B6</f>
        <v>495</v>
      </c>
      <c r="C92" s="39">
        <f>B92*B4</f>
        <v>495000</v>
      </c>
      <c r="D92" s="123"/>
    </row>
    <row r="93" spans="1:8" x14ac:dyDescent="0.25">
      <c r="A93" s="84" t="s">
        <v>196</v>
      </c>
      <c r="B93" s="99">
        <f>'Soc. Kostn Int till kalkylen'!B7</f>
        <v>231</v>
      </c>
      <c r="C93" s="39">
        <f>B93*$B$4</f>
        <v>231000</v>
      </c>
      <c r="D93" s="38"/>
    </row>
    <row r="94" spans="1:8" x14ac:dyDescent="0.25">
      <c r="A94" s="84" t="s">
        <v>197</v>
      </c>
      <c r="B94" s="99">
        <f>'Soc. Kostn Int till kalkylen'!B8</f>
        <v>231</v>
      </c>
      <c r="C94" s="39">
        <f>B94*$B$4</f>
        <v>231000</v>
      </c>
      <c r="D94" s="38"/>
      <c r="G94" s="125"/>
      <c r="H94" s="43"/>
    </row>
    <row r="95" spans="1:8" x14ac:dyDescent="0.25">
      <c r="A95" s="84" t="s">
        <v>198</v>
      </c>
      <c r="B95" s="99">
        <f>'Soc. Kostn Int till kalkylen'!B9</f>
        <v>206.25</v>
      </c>
      <c r="C95" s="39">
        <f>B95*B7</f>
        <v>49.5</v>
      </c>
      <c r="D95" s="38"/>
      <c r="G95" s="125"/>
      <c r="H95" s="43"/>
    </row>
    <row r="96" spans="1:8" x14ac:dyDescent="0.25">
      <c r="A96" s="84" t="s">
        <v>199</v>
      </c>
      <c r="B96" s="99">
        <f>'Soc. Kostn Int till kalkylen'!B10</f>
        <v>1.4279999999999999</v>
      </c>
      <c r="C96" s="39">
        <f t="shared" si="4"/>
        <v>1428</v>
      </c>
      <c r="D96" s="38"/>
    </row>
    <row r="97" spans="1:9" ht="30" x14ac:dyDescent="0.25">
      <c r="A97" s="102" t="s">
        <v>200</v>
      </c>
      <c r="B97" s="99">
        <f>'Soc. Kostn Int till kalkylen'!B11</f>
        <v>142.66720000000001</v>
      </c>
      <c r="C97" s="39">
        <f t="shared" si="4"/>
        <v>142667.20000000001</v>
      </c>
      <c r="D97" s="38"/>
    </row>
    <row r="98" spans="1:9" ht="27.75" customHeight="1" thickBot="1" x14ac:dyDescent="0.3">
      <c r="A98" s="27" t="s">
        <v>18</v>
      </c>
      <c r="B98" s="28"/>
      <c r="C98" s="39">
        <f t="shared" si="4"/>
        <v>0</v>
      </c>
      <c r="D98" s="38"/>
      <c r="E98" s="72" t="s">
        <v>122</v>
      </c>
      <c r="F98" s="72" t="s">
        <v>158</v>
      </c>
      <c r="G98" s="72" t="s">
        <v>157</v>
      </c>
      <c r="H98" s="72" t="s">
        <v>159</v>
      </c>
      <c r="I98" s="72" t="s">
        <v>160</v>
      </c>
    </row>
    <row r="99" spans="1:9" x14ac:dyDescent="0.25">
      <c r="A99" s="29" t="s">
        <v>40</v>
      </c>
      <c r="B99" s="30"/>
      <c r="C99" s="34">
        <f>SUM(C76:C98)</f>
        <v>1459167.5</v>
      </c>
      <c r="D99" s="64"/>
      <c r="E99" s="14" t="s">
        <v>87</v>
      </c>
      <c r="F99" s="52">
        <v>5688000</v>
      </c>
      <c r="G99" s="52">
        <v>5688000</v>
      </c>
      <c r="H99" s="52">
        <v>4864000</v>
      </c>
      <c r="I99" s="52">
        <v>4864000</v>
      </c>
    </row>
    <row r="100" spans="1:9" ht="15.75" thickBot="1" x14ac:dyDescent="0.3">
      <c r="A100" s="31" t="s">
        <v>20</v>
      </c>
      <c r="B100" s="32"/>
      <c r="C100" s="35">
        <f>E69-C99</f>
        <v>699852.5</v>
      </c>
      <c r="D100" s="64"/>
      <c r="E100" s="14" t="s">
        <v>88</v>
      </c>
      <c r="F100" s="52">
        <v>1840000</v>
      </c>
      <c r="G100" s="52">
        <v>1840000</v>
      </c>
      <c r="H100" s="52">
        <v>920000</v>
      </c>
      <c r="I100" s="52">
        <v>1840000</v>
      </c>
    </row>
    <row r="101" spans="1:9" x14ac:dyDescent="0.25">
      <c r="A101" s="6"/>
      <c r="B101" s="1"/>
      <c r="D101" s="65"/>
      <c r="E101" s="14" t="s">
        <v>89</v>
      </c>
      <c r="F101" s="52">
        <v>557682.80000000005</v>
      </c>
      <c r="G101" s="52">
        <v>717882.8</v>
      </c>
      <c r="H101" s="52">
        <v>557682.80000000005</v>
      </c>
      <c r="I101" s="52">
        <v>757342.8</v>
      </c>
    </row>
    <row r="102" spans="1:9" x14ac:dyDescent="0.25">
      <c r="A102" s="33" t="s">
        <v>12</v>
      </c>
      <c r="B102" s="33" t="s">
        <v>79</v>
      </c>
      <c r="C102" s="33" t="s">
        <v>153</v>
      </c>
      <c r="D102" s="66"/>
      <c r="E102" s="14" t="s">
        <v>90</v>
      </c>
      <c r="F102" s="52">
        <v>524194.1251807838</v>
      </c>
      <c r="G102" s="52">
        <v>524194.1251807838</v>
      </c>
      <c r="H102" s="52">
        <v>450406.71418211702</v>
      </c>
      <c r="I102" s="52">
        <v>450406.71418211702</v>
      </c>
    </row>
    <row r="103" spans="1:9" x14ac:dyDescent="0.25">
      <c r="A103" s="13" t="s">
        <v>22</v>
      </c>
      <c r="B103" s="12">
        <v>2.1800000000000002</v>
      </c>
      <c r="C103" s="48">
        <f>B103</f>
        <v>2.1800000000000002</v>
      </c>
      <c r="D103" s="38"/>
      <c r="E103" s="14" t="s">
        <v>91</v>
      </c>
      <c r="F103" s="52">
        <f>F100-F101-F102</f>
        <v>758123.07481921616</v>
      </c>
      <c r="G103" s="52">
        <f>G100-G101-G102</f>
        <v>597923.07481921616</v>
      </c>
      <c r="H103" s="71">
        <f>H100-H101-H102</f>
        <v>-88089.514182117069</v>
      </c>
      <c r="I103" s="52">
        <f>I100-I101-I102</f>
        <v>632250.48581788293</v>
      </c>
    </row>
    <row r="104" spans="1:9" x14ac:dyDescent="0.25">
      <c r="A104" s="13" t="s">
        <v>29</v>
      </c>
      <c r="B104" s="12">
        <v>30</v>
      </c>
      <c r="C104" s="48">
        <f t="shared" ref="C104:C106" si="5">B104*$B$4</f>
        <v>30000</v>
      </c>
      <c r="D104" s="38"/>
      <c r="E104" s="14" t="s">
        <v>86</v>
      </c>
      <c r="F104" s="52">
        <f>F99/F103</f>
        <v>7.5027395800561463</v>
      </c>
      <c r="G104" s="52">
        <f>G99/G103</f>
        <v>9.5129294043715973</v>
      </c>
      <c r="H104" s="52" t="s">
        <v>108</v>
      </c>
      <c r="I104" s="52">
        <f>I99/I103</f>
        <v>7.6931534401399491</v>
      </c>
    </row>
    <row r="105" spans="1:9" ht="75" x14ac:dyDescent="0.25">
      <c r="A105" s="13" t="s">
        <v>23</v>
      </c>
      <c r="B105" s="12">
        <v>10</v>
      </c>
      <c r="C105" s="48">
        <f t="shared" si="5"/>
        <v>10000</v>
      </c>
      <c r="D105" s="38"/>
      <c r="E105" s="72" t="s">
        <v>161</v>
      </c>
      <c r="F105" s="72" t="s">
        <v>158</v>
      </c>
      <c r="G105" s="72" t="s">
        <v>157</v>
      </c>
      <c r="H105" s="72" t="s">
        <v>159</v>
      </c>
      <c r="I105" s="72" t="s">
        <v>160</v>
      </c>
    </row>
    <row r="106" spans="1:9" x14ac:dyDescent="0.25">
      <c r="A106" s="13" t="s">
        <v>51</v>
      </c>
      <c r="B106" s="12">
        <v>0</v>
      </c>
      <c r="C106" s="48">
        <f t="shared" si="5"/>
        <v>0</v>
      </c>
      <c r="D106" s="38"/>
      <c r="E106" s="14" t="s">
        <v>87</v>
      </c>
      <c r="F106" s="52">
        <v>5578000</v>
      </c>
      <c r="G106" s="52">
        <v>5578000</v>
      </c>
      <c r="H106" s="52">
        <v>4794000</v>
      </c>
      <c r="I106" s="52">
        <v>4794000</v>
      </c>
    </row>
    <row r="107" spans="1:9" x14ac:dyDescent="0.25">
      <c r="A107" s="13" t="s">
        <v>52</v>
      </c>
      <c r="B107" s="12">
        <v>0</v>
      </c>
      <c r="C107" s="48">
        <f>B107*$B$4</f>
        <v>0</v>
      </c>
      <c r="D107" s="38"/>
      <c r="E107" s="14" t="s">
        <v>88</v>
      </c>
      <c r="F107" s="52">
        <v>1861110.0000000002</v>
      </c>
      <c r="G107" s="52">
        <v>1861110.0000000002</v>
      </c>
      <c r="H107" s="52">
        <v>930555.00000000012</v>
      </c>
      <c r="I107" s="52">
        <v>1861110.0000000002</v>
      </c>
    </row>
    <row r="108" spans="1:9" x14ac:dyDescent="0.25">
      <c r="A108" s="13" t="s">
        <v>107</v>
      </c>
      <c r="B108" s="12"/>
      <c r="C108" s="48">
        <f>(D43+D45+D46+D47)*$B$4</f>
        <v>193450</v>
      </c>
      <c r="D108" s="67"/>
      <c r="E108" s="14" t="s">
        <v>89</v>
      </c>
      <c r="F108" s="52">
        <v>556682.80000000005</v>
      </c>
      <c r="G108" s="52">
        <v>716882.8</v>
      </c>
      <c r="H108" s="52">
        <v>556682.80000000005</v>
      </c>
      <c r="I108" s="52">
        <v>756342.8</v>
      </c>
    </row>
    <row r="109" spans="1:9" x14ac:dyDescent="0.25">
      <c r="A109" s="13" t="s">
        <v>24</v>
      </c>
      <c r="B109" s="12"/>
      <c r="C109" s="48">
        <f>(D50+D51+D52+D53+D54+D55+D56+D48)*$B$4</f>
        <v>38900</v>
      </c>
      <c r="D109" s="67"/>
      <c r="E109" s="14" t="s">
        <v>90</v>
      </c>
      <c r="F109" s="52">
        <v>509248.64977654163</v>
      </c>
      <c r="G109" s="52">
        <v>509248.64977654163</v>
      </c>
      <c r="H109" s="52">
        <v>440895.95710669016</v>
      </c>
      <c r="I109" s="52">
        <v>440895.95710669016</v>
      </c>
    </row>
    <row r="110" spans="1:9" x14ac:dyDescent="0.25">
      <c r="A110" s="27" t="s">
        <v>84</v>
      </c>
      <c r="B110" s="28"/>
      <c r="C110" s="59">
        <f>D49*$B$4</f>
        <v>7200</v>
      </c>
      <c r="D110" s="67"/>
      <c r="E110" s="14" t="s">
        <v>91</v>
      </c>
      <c r="F110" s="52">
        <v>795178.55022345856</v>
      </c>
      <c r="G110" s="52">
        <v>634978.55022345856</v>
      </c>
      <c r="H110" s="71">
        <v>-67023.757106690085</v>
      </c>
      <c r="I110" s="52">
        <v>663871.24289331003</v>
      </c>
    </row>
    <row r="111" spans="1:9" ht="15.75" thickBot="1" x14ac:dyDescent="0.3">
      <c r="A111" s="27" t="s">
        <v>25</v>
      </c>
      <c r="B111" s="28"/>
      <c r="C111" s="59">
        <f>G57*$B$4</f>
        <v>159165.95710669016</v>
      </c>
      <c r="D111" s="67"/>
      <c r="E111" s="14" t="s">
        <v>86</v>
      </c>
      <c r="F111" s="52">
        <v>7.0147767421951812</v>
      </c>
      <c r="G111" s="52">
        <v>8.7845487033176433</v>
      </c>
      <c r="H111" s="52" t="s">
        <v>108</v>
      </c>
      <c r="I111" s="52">
        <v>7.2212798058650627</v>
      </c>
    </row>
    <row r="112" spans="1:9" x14ac:dyDescent="0.25">
      <c r="A112" s="29" t="s">
        <v>26</v>
      </c>
      <c r="B112" s="30"/>
      <c r="C112" s="62">
        <f>SUM(C103:C111)</f>
        <v>438718.13710669015</v>
      </c>
      <c r="D112" s="64"/>
    </row>
    <row r="113" spans="1:17" ht="15.75" thickBot="1" x14ac:dyDescent="0.3">
      <c r="A113" s="31" t="s">
        <v>50</v>
      </c>
      <c r="B113" s="32"/>
      <c r="C113" s="62">
        <f>E69-C99-C112</f>
        <v>261134.36289330985</v>
      </c>
      <c r="D113" s="68"/>
    </row>
    <row r="114" spans="1:17" ht="15.75" thickBot="1" x14ac:dyDescent="0.3">
      <c r="A114" s="31" t="s">
        <v>53</v>
      </c>
      <c r="B114" s="32"/>
      <c r="C114" s="50">
        <f>B58/C113</f>
        <v>18.358365198986302</v>
      </c>
      <c r="D114" s="68"/>
    </row>
    <row r="115" spans="1:17" x14ac:dyDescent="0.25">
      <c r="D115" s="65"/>
    </row>
    <row r="116" spans="1:17" s="78" customFormat="1" ht="30" x14ac:dyDescent="0.25">
      <c r="A116" s="77" t="s">
        <v>122</v>
      </c>
      <c r="B116" s="72" t="s">
        <v>110</v>
      </c>
      <c r="C116" s="72" t="s">
        <v>111</v>
      </c>
      <c r="D116" s="72" t="s">
        <v>112</v>
      </c>
      <c r="E116" s="72" t="s">
        <v>113</v>
      </c>
      <c r="F116" s="72" t="s">
        <v>114</v>
      </c>
      <c r="G116" s="72" t="s">
        <v>115</v>
      </c>
      <c r="H116" s="72" t="s">
        <v>116</v>
      </c>
      <c r="I116" s="72" t="s">
        <v>117</v>
      </c>
      <c r="J116" s="72" t="s">
        <v>118</v>
      </c>
      <c r="K116" s="72" t="s">
        <v>119</v>
      </c>
      <c r="L116" s="72" t="s">
        <v>120</v>
      </c>
      <c r="M116" s="72" t="s">
        <v>121</v>
      </c>
    </row>
    <row r="117" spans="1:17" x14ac:dyDescent="0.25">
      <c r="A117" s="14" t="s">
        <v>87</v>
      </c>
      <c r="B117" s="52">
        <f>B58</f>
        <v>4794000</v>
      </c>
      <c r="C117" s="52"/>
      <c r="D117" s="52"/>
      <c r="E117" s="52"/>
      <c r="F117" s="52">
        <f>B117-500000</f>
        <v>4294000</v>
      </c>
      <c r="G117" s="52">
        <v>4404000</v>
      </c>
      <c r="H117" s="52">
        <v>4364000</v>
      </c>
      <c r="I117" s="52">
        <v>4404000</v>
      </c>
      <c r="J117" s="52">
        <v>784000</v>
      </c>
      <c r="K117" s="52">
        <v>784000</v>
      </c>
      <c r="L117" s="52">
        <v>784000</v>
      </c>
      <c r="M117" s="52">
        <v>784000</v>
      </c>
    </row>
    <row r="118" spans="1:17" x14ac:dyDescent="0.25">
      <c r="A118" s="14" t="s">
        <v>88</v>
      </c>
      <c r="B118" s="52">
        <f>E69</f>
        <v>2159020</v>
      </c>
      <c r="C118" s="52"/>
      <c r="D118" s="52"/>
      <c r="E118" s="52"/>
      <c r="F118" s="52">
        <v>1965760</v>
      </c>
      <c r="G118" s="52">
        <v>1693000</v>
      </c>
      <c r="H118" s="52">
        <v>755560</v>
      </c>
      <c r="I118" s="52">
        <v>1614616</v>
      </c>
      <c r="J118" s="52">
        <v>1965760</v>
      </c>
      <c r="K118" s="52">
        <v>1693000</v>
      </c>
      <c r="L118" s="52">
        <v>755560</v>
      </c>
      <c r="M118" s="52">
        <v>1614616</v>
      </c>
      <c r="N118" s="7"/>
      <c r="O118" s="7"/>
      <c r="P118" s="7"/>
      <c r="Q118" s="7"/>
    </row>
    <row r="119" spans="1:17" x14ac:dyDescent="0.25">
      <c r="A119" s="14" t="s">
        <v>89</v>
      </c>
      <c r="B119" s="52">
        <f>C99</f>
        <v>1459167.5</v>
      </c>
      <c r="C119" s="52"/>
      <c r="D119" s="52"/>
      <c r="E119" s="52"/>
      <c r="F119" s="52">
        <v>505483</v>
      </c>
      <c r="G119" s="52">
        <v>505483</v>
      </c>
      <c r="H119" s="52">
        <v>505483</v>
      </c>
      <c r="I119" s="52">
        <v>505483</v>
      </c>
      <c r="J119" s="52">
        <v>505483</v>
      </c>
      <c r="K119" s="52">
        <v>505483</v>
      </c>
      <c r="L119" s="52">
        <v>505483</v>
      </c>
      <c r="M119" s="52">
        <v>505483</v>
      </c>
      <c r="N119" s="7"/>
      <c r="O119" s="7"/>
      <c r="P119" s="7"/>
      <c r="Q119" s="7"/>
    </row>
    <row r="120" spans="1:17" x14ac:dyDescent="0.25">
      <c r="A120" s="14" t="s">
        <v>90</v>
      </c>
      <c r="B120" s="52">
        <f>C112</f>
        <v>438718.13710669015</v>
      </c>
      <c r="C120" s="52"/>
      <c r="D120" s="52"/>
      <c r="E120" s="52"/>
      <c r="F120" s="52">
        <v>460407</v>
      </c>
      <c r="G120" s="52">
        <v>465841</v>
      </c>
      <c r="H120" s="52">
        <v>460407</v>
      </c>
      <c r="I120" s="52">
        <v>465841</v>
      </c>
      <c r="J120" s="52">
        <v>160533</v>
      </c>
      <c r="K120" s="52">
        <v>160533</v>
      </c>
      <c r="L120" s="52">
        <v>160533</v>
      </c>
      <c r="M120" s="52">
        <v>160533</v>
      </c>
      <c r="N120" s="7"/>
      <c r="O120" s="7"/>
      <c r="P120" s="7"/>
      <c r="Q120" s="7"/>
    </row>
    <row r="121" spans="1:17" x14ac:dyDescent="0.25">
      <c r="A121" s="14" t="s">
        <v>91</v>
      </c>
      <c r="B121" s="52">
        <f>C113</f>
        <v>261134.36289330985</v>
      </c>
      <c r="C121" s="52"/>
      <c r="D121" s="71"/>
      <c r="E121" s="52"/>
      <c r="F121" s="52">
        <f>F118-F119-F120</f>
        <v>999870</v>
      </c>
      <c r="G121" s="52">
        <f>G118-G119-G120-50000</f>
        <v>671676</v>
      </c>
      <c r="H121" s="71">
        <f>H118-H119-H120</f>
        <v>-210330</v>
      </c>
      <c r="I121" s="52">
        <f>I118-I119-I120</f>
        <v>643292</v>
      </c>
      <c r="J121" s="52">
        <f>J118-J119-J120</f>
        <v>1299744</v>
      </c>
      <c r="K121" s="52">
        <f>K118-K119-K120</f>
        <v>1026984</v>
      </c>
      <c r="L121" s="52">
        <f>L118-L119-L120</f>
        <v>89544</v>
      </c>
      <c r="M121" s="52">
        <f t="shared" ref="M121" si="6">M118-M119-M120</f>
        <v>948600</v>
      </c>
      <c r="N121" s="7"/>
      <c r="O121" s="7"/>
      <c r="P121" s="7"/>
      <c r="Q121" s="7"/>
    </row>
    <row r="122" spans="1:17" x14ac:dyDescent="0.25">
      <c r="A122" s="14" t="s">
        <v>86</v>
      </c>
      <c r="B122" s="69">
        <f>C114</f>
        <v>18.358365198986302</v>
      </c>
      <c r="C122" s="52"/>
      <c r="D122" s="52"/>
      <c r="E122" s="52"/>
      <c r="F122" s="52">
        <f>F117/F121</f>
        <v>4.294558292578035</v>
      </c>
      <c r="G122" s="52">
        <f>G117/G121</f>
        <v>6.5567327104139492</v>
      </c>
      <c r="H122" s="52" t="s">
        <v>108</v>
      </c>
      <c r="I122" s="52">
        <f>I117/I121</f>
        <v>6.8460357038483304</v>
      </c>
      <c r="J122" s="52">
        <f>J117/J121</f>
        <v>0.60319570623138097</v>
      </c>
      <c r="K122" s="52">
        <f>K117/K121</f>
        <v>0.76340040351164185</v>
      </c>
      <c r="L122" s="71">
        <f>L117/L121</f>
        <v>8.7554721701063158</v>
      </c>
      <c r="M122" s="52">
        <f>M117/M121</f>
        <v>0.82648113008644319</v>
      </c>
      <c r="N122" s="7"/>
      <c r="O122" s="7"/>
      <c r="P122" s="7"/>
      <c r="Q122" s="7"/>
    </row>
    <row r="123" spans="1:17" ht="30" x14ac:dyDescent="0.25">
      <c r="A123" s="76" t="s">
        <v>109</v>
      </c>
      <c r="B123" s="75" t="s">
        <v>110</v>
      </c>
      <c r="C123" s="75" t="s">
        <v>111</v>
      </c>
      <c r="D123" s="75" t="s">
        <v>112</v>
      </c>
      <c r="E123" s="75" t="s">
        <v>113</v>
      </c>
      <c r="F123" s="75" t="s">
        <v>114</v>
      </c>
      <c r="G123" s="75" t="s">
        <v>115</v>
      </c>
      <c r="H123" s="75" t="s">
        <v>116</v>
      </c>
      <c r="I123" s="75" t="s">
        <v>117</v>
      </c>
      <c r="J123" s="75" t="s">
        <v>118</v>
      </c>
      <c r="K123" s="75" t="s">
        <v>119</v>
      </c>
      <c r="L123" s="75" t="s">
        <v>120</v>
      </c>
      <c r="M123" s="75" t="s">
        <v>121</v>
      </c>
      <c r="N123" s="7"/>
      <c r="O123" s="7"/>
      <c r="P123" s="7"/>
      <c r="Q123" s="7"/>
    </row>
    <row r="124" spans="1:17" s="65" customFormat="1" x14ac:dyDescent="0.25">
      <c r="A124" s="14" t="s">
        <v>87</v>
      </c>
      <c r="B124" s="52">
        <v>4794000</v>
      </c>
      <c r="C124" s="60">
        <v>4834000</v>
      </c>
      <c r="D124" s="52">
        <v>4794000</v>
      </c>
      <c r="E124" s="60">
        <v>4834000</v>
      </c>
      <c r="F124" s="52">
        <f>F117-70000</f>
        <v>4224000</v>
      </c>
      <c r="G124" s="60">
        <f>4404000-70000</f>
        <v>4334000</v>
      </c>
      <c r="H124" s="60">
        <f>4364000-70000</f>
        <v>4294000</v>
      </c>
      <c r="I124" s="60">
        <f>4404000-70000</f>
        <v>4334000</v>
      </c>
      <c r="J124" s="52">
        <v>784000</v>
      </c>
      <c r="K124" s="52">
        <v>784000</v>
      </c>
      <c r="L124" s="52">
        <v>784000</v>
      </c>
      <c r="M124" s="52">
        <v>784000</v>
      </c>
      <c r="N124" s="79"/>
      <c r="O124" s="79"/>
      <c r="P124" s="79"/>
      <c r="Q124" s="79"/>
    </row>
    <row r="125" spans="1:17" s="65" customFormat="1" x14ac:dyDescent="0.25">
      <c r="A125" s="14" t="s">
        <v>88</v>
      </c>
      <c r="B125" s="52">
        <v>1961110</v>
      </c>
      <c r="C125" s="61">
        <v>1603600</v>
      </c>
      <c r="D125" s="60">
        <v>1232866</v>
      </c>
      <c r="E125" s="60">
        <v>1428869</v>
      </c>
      <c r="F125" s="52">
        <v>1961110</v>
      </c>
      <c r="G125" s="61">
        <v>1603600</v>
      </c>
      <c r="H125" s="60">
        <v>1232866</v>
      </c>
      <c r="I125" s="60">
        <v>1428869</v>
      </c>
      <c r="J125" s="61">
        <v>1961110</v>
      </c>
      <c r="K125" s="61">
        <v>1603600</v>
      </c>
      <c r="L125" s="61">
        <v>1232866</v>
      </c>
      <c r="M125" s="60">
        <v>1428869</v>
      </c>
      <c r="N125" s="79"/>
      <c r="O125" s="79"/>
      <c r="P125" s="79"/>
      <c r="Q125" s="79"/>
    </row>
    <row r="126" spans="1:17" x14ac:dyDescent="0.25">
      <c r="A126" s="14" t="s">
        <v>89</v>
      </c>
      <c r="B126" s="52">
        <v>504483</v>
      </c>
      <c r="C126" s="52">
        <v>504483</v>
      </c>
      <c r="D126" s="52">
        <v>504483</v>
      </c>
      <c r="E126" s="52">
        <v>504483</v>
      </c>
      <c r="F126" s="52">
        <v>504483</v>
      </c>
      <c r="G126" s="52">
        <v>504483</v>
      </c>
      <c r="H126" s="52">
        <v>504483</v>
      </c>
      <c r="I126" s="52">
        <v>504483</v>
      </c>
      <c r="J126" s="52">
        <v>504483</v>
      </c>
      <c r="K126" s="52">
        <v>504483</v>
      </c>
      <c r="L126" s="52">
        <v>504483</v>
      </c>
      <c r="M126" s="52">
        <v>504483</v>
      </c>
      <c r="N126" s="7"/>
      <c r="O126" s="7"/>
      <c r="P126" s="7"/>
      <c r="Q126" s="7"/>
    </row>
    <row r="127" spans="1:17" s="15" customFormat="1" x14ac:dyDescent="0.25">
      <c r="A127" s="14" t="s">
        <v>90</v>
      </c>
      <c r="B127" s="52">
        <v>440896</v>
      </c>
      <c r="C127" s="61">
        <v>446331</v>
      </c>
      <c r="D127" s="60">
        <v>440896</v>
      </c>
      <c r="E127" s="60">
        <v>446331</v>
      </c>
      <c r="F127" s="52">
        <v>450896</v>
      </c>
      <c r="G127" s="61">
        <v>456331</v>
      </c>
      <c r="H127" s="52">
        <v>450896</v>
      </c>
      <c r="I127" s="61">
        <v>456331</v>
      </c>
      <c r="J127" s="52">
        <v>160533</v>
      </c>
      <c r="K127" s="52">
        <v>160533</v>
      </c>
      <c r="L127" s="52">
        <v>160533</v>
      </c>
      <c r="M127" s="52">
        <v>160533</v>
      </c>
    </row>
    <row r="128" spans="1:17" x14ac:dyDescent="0.25">
      <c r="A128" s="14" t="s">
        <v>91</v>
      </c>
      <c r="B128" s="52">
        <v>963931</v>
      </c>
      <c r="C128" s="61">
        <f t="shared" ref="C128:L128" si="7">C125-C126-C127</f>
        <v>652786</v>
      </c>
      <c r="D128" s="60">
        <f t="shared" si="7"/>
        <v>287487</v>
      </c>
      <c r="E128" s="73">
        <f t="shared" si="7"/>
        <v>478055</v>
      </c>
      <c r="F128" s="52">
        <f t="shared" si="7"/>
        <v>1005731</v>
      </c>
      <c r="G128" s="61">
        <f t="shared" si="7"/>
        <v>642786</v>
      </c>
      <c r="H128" s="60">
        <f t="shared" si="7"/>
        <v>277487</v>
      </c>
      <c r="I128" s="73">
        <f t="shared" si="7"/>
        <v>468055</v>
      </c>
      <c r="J128" s="61">
        <f t="shared" si="7"/>
        <v>1296094</v>
      </c>
      <c r="K128" s="61">
        <f t="shared" si="7"/>
        <v>938584</v>
      </c>
      <c r="L128" s="61">
        <f t="shared" si="7"/>
        <v>567850</v>
      </c>
      <c r="M128" s="73">
        <f t="shared" ref="M128" si="8">M125-M126-M127</f>
        <v>763853</v>
      </c>
    </row>
    <row r="129" spans="1:13" x14ac:dyDescent="0.25">
      <c r="A129" s="14" t="s">
        <v>86</v>
      </c>
      <c r="B129" s="69">
        <f t="shared" ref="B129:M129" si="9">B124/B128</f>
        <v>4.9733850244467703</v>
      </c>
      <c r="C129" s="63">
        <f t="shared" si="9"/>
        <v>7.4051833219462431</v>
      </c>
      <c r="D129" s="71">
        <f t="shared" si="9"/>
        <v>16.675536632960796</v>
      </c>
      <c r="E129" s="52">
        <f t="shared" si="9"/>
        <v>10.111807218834652</v>
      </c>
      <c r="F129" s="52">
        <f t="shared" si="9"/>
        <v>4.1999302000236645</v>
      </c>
      <c r="G129" s="63">
        <f t="shared" si="9"/>
        <v>6.7425239504282919</v>
      </c>
      <c r="H129" s="71">
        <f t="shared" si="9"/>
        <v>15.474598810034344</v>
      </c>
      <c r="I129" s="63">
        <f t="shared" si="9"/>
        <v>9.2595955603508138</v>
      </c>
      <c r="J129" s="61">
        <f t="shared" si="9"/>
        <v>0.60489439809149648</v>
      </c>
      <c r="K129" s="61">
        <f t="shared" si="9"/>
        <v>0.83530083615318396</v>
      </c>
      <c r="L129" s="61">
        <f t="shared" si="9"/>
        <v>1.3806462974377036</v>
      </c>
      <c r="M129" s="63">
        <f t="shared" si="9"/>
        <v>1.0263754937141047</v>
      </c>
    </row>
    <row r="130" spans="1:13" ht="30" x14ac:dyDescent="0.25">
      <c r="A130" s="72" t="s">
        <v>123</v>
      </c>
      <c r="B130" s="72" t="s">
        <v>124</v>
      </c>
      <c r="C130" s="72" t="s">
        <v>125</v>
      </c>
      <c r="D130" s="72" t="s">
        <v>126</v>
      </c>
      <c r="E130" s="72" t="s">
        <v>127</v>
      </c>
      <c r="F130" s="72" t="s">
        <v>128</v>
      </c>
      <c r="G130" s="72" t="s">
        <v>129</v>
      </c>
      <c r="H130" s="72" t="s">
        <v>130</v>
      </c>
      <c r="I130" s="72" t="s">
        <v>131</v>
      </c>
      <c r="J130" s="72" t="s">
        <v>132</v>
      </c>
      <c r="K130" s="72" t="s">
        <v>133</v>
      </c>
      <c r="L130" s="72" t="s">
        <v>134</v>
      </c>
      <c r="M130" s="72" t="s">
        <v>135</v>
      </c>
    </row>
    <row r="131" spans="1:13" x14ac:dyDescent="0.25">
      <c r="A131" s="14" t="s">
        <v>87</v>
      </c>
      <c r="B131" s="52">
        <v>4774000</v>
      </c>
      <c r="C131" s="52">
        <v>4814000</v>
      </c>
      <c r="D131" s="60">
        <v>4864000</v>
      </c>
      <c r="E131" s="52">
        <v>4814000</v>
      </c>
      <c r="F131" s="52">
        <v>4274000</v>
      </c>
      <c r="G131" s="60">
        <v>4314000</v>
      </c>
      <c r="H131" s="52">
        <v>4274000</v>
      </c>
      <c r="I131" s="60">
        <v>4314000</v>
      </c>
      <c r="J131" s="60">
        <v>694000</v>
      </c>
      <c r="K131" s="60">
        <v>694000</v>
      </c>
      <c r="L131" s="60">
        <v>694000</v>
      </c>
      <c r="M131" s="60">
        <v>694000</v>
      </c>
    </row>
    <row r="132" spans="1:13" x14ac:dyDescent="0.25">
      <c r="A132" s="14" t="s">
        <v>88</v>
      </c>
      <c r="B132" s="52">
        <v>1965760</v>
      </c>
      <c r="C132" s="61">
        <v>1693000</v>
      </c>
      <c r="D132" s="60">
        <v>755560</v>
      </c>
      <c r="E132" s="60">
        <v>1614616</v>
      </c>
      <c r="F132" s="52">
        <v>1965760</v>
      </c>
      <c r="G132" s="61">
        <v>1693000</v>
      </c>
      <c r="H132" s="60">
        <v>755560</v>
      </c>
      <c r="I132" s="61">
        <v>1614616</v>
      </c>
      <c r="J132" s="52">
        <v>1965760</v>
      </c>
      <c r="K132" s="61">
        <v>1693000</v>
      </c>
      <c r="L132" s="60">
        <v>755560</v>
      </c>
      <c r="M132" s="61">
        <v>1614616</v>
      </c>
    </row>
    <row r="133" spans="1:13" x14ac:dyDescent="0.25">
      <c r="A133" s="14" t="s">
        <v>89</v>
      </c>
      <c r="B133" s="52">
        <v>557683</v>
      </c>
      <c r="C133" s="61">
        <v>557683</v>
      </c>
      <c r="D133" s="60">
        <v>557683</v>
      </c>
      <c r="E133" s="60">
        <v>557683</v>
      </c>
      <c r="F133" s="52">
        <v>557683</v>
      </c>
      <c r="G133" s="61">
        <v>557683</v>
      </c>
      <c r="H133" s="60">
        <v>557683</v>
      </c>
      <c r="I133" s="61">
        <v>557683</v>
      </c>
      <c r="J133" s="61">
        <v>557683</v>
      </c>
      <c r="K133" s="61">
        <v>557683</v>
      </c>
      <c r="L133" s="61">
        <v>557683</v>
      </c>
      <c r="M133" s="61">
        <v>557683</v>
      </c>
    </row>
    <row r="134" spans="1:13" x14ac:dyDescent="0.25">
      <c r="A134" s="14" t="s">
        <v>90</v>
      </c>
      <c r="B134" s="52">
        <v>442560</v>
      </c>
      <c r="C134" s="52">
        <v>447995</v>
      </c>
      <c r="D134" s="52">
        <v>442560</v>
      </c>
      <c r="E134" s="52">
        <v>447995</v>
      </c>
      <c r="F134" s="52">
        <v>452560</v>
      </c>
      <c r="G134" s="61">
        <v>457995</v>
      </c>
      <c r="H134" s="52">
        <v>452560</v>
      </c>
      <c r="I134" s="61">
        <v>457995</v>
      </c>
      <c r="J134" s="61">
        <v>152686</v>
      </c>
      <c r="K134" s="61">
        <v>152686</v>
      </c>
      <c r="L134" s="61">
        <v>152686</v>
      </c>
      <c r="M134" s="61">
        <v>152686</v>
      </c>
    </row>
    <row r="135" spans="1:13" x14ac:dyDescent="0.25">
      <c r="A135" s="14" t="s">
        <v>91</v>
      </c>
      <c r="B135" s="52">
        <f t="shared" ref="B135:L135" si="10">B132-B133-B134</f>
        <v>965517</v>
      </c>
      <c r="C135" s="61">
        <f t="shared" si="10"/>
        <v>687322</v>
      </c>
      <c r="D135" s="70">
        <f t="shared" si="10"/>
        <v>-244683</v>
      </c>
      <c r="E135" s="60">
        <f t="shared" si="10"/>
        <v>608938</v>
      </c>
      <c r="F135" s="52">
        <f t="shared" si="10"/>
        <v>955517</v>
      </c>
      <c r="G135" s="61">
        <f t="shared" si="10"/>
        <v>677322</v>
      </c>
      <c r="H135" s="70">
        <f t="shared" si="10"/>
        <v>-254683</v>
      </c>
      <c r="I135" s="61">
        <f t="shared" si="10"/>
        <v>598938</v>
      </c>
      <c r="J135" s="61">
        <f t="shared" si="10"/>
        <v>1255391</v>
      </c>
      <c r="K135" s="61">
        <f t="shared" si="10"/>
        <v>982631</v>
      </c>
      <c r="L135" s="61">
        <f t="shared" si="10"/>
        <v>45191</v>
      </c>
      <c r="M135" s="61">
        <f t="shared" ref="M135" si="11">M132-M133-M134</f>
        <v>904247</v>
      </c>
    </row>
    <row r="136" spans="1:13" x14ac:dyDescent="0.25">
      <c r="A136" s="14" t="s">
        <v>86</v>
      </c>
      <c r="B136" s="52">
        <f>B131/B135</f>
        <v>4.9445012361253093</v>
      </c>
      <c r="C136" s="63">
        <f>C131/C135</f>
        <v>7.00399521621598</v>
      </c>
      <c r="D136" s="52" t="s">
        <v>108</v>
      </c>
      <c r="E136" s="60">
        <f>E131/E135</f>
        <v>7.9055667407847761</v>
      </c>
      <c r="F136" s="52">
        <f>F131/F135</f>
        <v>4.472971176860276</v>
      </c>
      <c r="G136" s="63">
        <f>G131/G135</f>
        <v>6.3692010594665458</v>
      </c>
      <c r="H136" s="52" t="s">
        <v>108</v>
      </c>
      <c r="I136" s="63">
        <f>I131/I135</f>
        <v>7.2027488654919205</v>
      </c>
      <c r="J136" s="63">
        <f>J131/J135</f>
        <v>0.55281581594897522</v>
      </c>
      <c r="K136" s="61">
        <f>K131/K135</f>
        <v>0.7062671542013228</v>
      </c>
      <c r="L136" s="71">
        <f>L131/L135</f>
        <v>15.357040118607687</v>
      </c>
      <c r="M136" s="61">
        <f>M131/M135</f>
        <v>0.76748941384378389</v>
      </c>
    </row>
    <row r="137" spans="1:13" ht="30" x14ac:dyDescent="0.25">
      <c r="A137" s="76" t="s">
        <v>136</v>
      </c>
      <c r="B137" s="75" t="s">
        <v>124</v>
      </c>
      <c r="C137" s="75" t="s">
        <v>125</v>
      </c>
      <c r="D137" s="75" t="s">
        <v>126</v>
      </c>
      <c r="E137" s="75" t="s">
        <v>127</v>
      </c>
      <c r="F137" s="75" t="s">
        <v>128</v>
      </c>
      <c r="G137" s="75" t="s">
        <v>129</v>
      </c>
      <c r="H137" s="75" t="s">
        <v>130</v>
      </c>
      <c r="I137" s="75" t="s">
        <v>131</v>
      </c>
      <c r="J137" s="75" t="s">
        <v>132</v>
      </c>
      <c r="K137" s="75" t="s">
        <v>133</v>
      </c>
      <c r="L137" s="75" t="s">
        <v>134</v>
      </c>
      <c r="M137" s="75" t="s">
        <v>135</v>
      </c>
    </row>
    <row r="138" spans="1:13" x14ac:dyDescent="0.25">
      <c r="A138" s="14" t="s">
        <v>87</v>
      </c>
      <c r="B138" s="52">
        <v>4794000</v>
      </c>
      <c r="C138" s="60">
        <v>4834000</v>
      </c>
      <c r="D138" s="52">
        <v>4794000</v>
      </c>
      <c r="E138" s="60">
        <v>4834000</v>
      </c>
      <c r="F138" s="52">
        <f>F131-70000</f>
        <v>4204000</v>
      </c>
      <c r="G138" s="60">
        <f>4404000-70000</f>
        <v>4334000</v>
      </c>
      <c r="H138" s="60">
        <f>4364000-70000</f>
        <v>4294000</v>
      </c>
      <c r="I138" s="60">
        <f>4404000-70000</f>
        <v>4334000</v>
      </c>
      <c r="J138" s="60">
        <v>694000</v>
      </c>
      <c r="K138" s="60">
        <v>694000</v>
      </c>
      <c r="L138" s="60">
        <v>694000</v>
      </c>
      <c r="M138" s="60">
        <v>694000</v>
      </c>
    </row>
    <row r="139" spans="1:13" x14ac:dyDescent="0.25">
      <c r="A139" s="14" t="s">
        <v>88</v>
      </c>
      <c r="B139" s="52">
        <v>1961110</v>
      </c>
      <c r="C139" s="61">
        <v>1603600</v>
      </c>
      <c r="D139" s="60">
        <v>1232866</v>
      </c>
      <c r="E139" s="60">
        <v>1428869</v>
      </c>
      <c r="F139" s="52">
        <v>1961110</v>
      </c>
      <c r="G139" s="61">
        <v>1603600</v>
      </c>
      <c r="H139" s="60">
        <v>1232866</v>
      </c>
      <c r="I139" s="60">
        <v>1428869</v>
      </c>
      <c r="J139" s="61">
        <v>1961110</v>
      </c>
      <c r="K139" s="61">
        <v>1603600</v>
      </c>
      <c r="L139" s="61">
        <v>1232866</v>
      </c>
      <c r="M139" s="60">
        <v>1428869</v>
      </c>
    </row>
    <row r="140" spans="1:13" x14ac:dyDescent="0.25">
      <c r="A140" s="14" t="s">
        <v>89</v>
      </c>
      <c r="B140" s="52">
        <v>556683</v>
      </c>
      <c r="C140" s="52">
        <v>556683</v>
      </c>
      <c r="D140" s="52">
        <v>556683</v>
      </c>
      <c r="E140" s="52">
        <v>556683</v>
      </c>
      <c r="F140" s="52">
        <v>556683</v>
      </c>
      <c r="G140" s="52">
        <v>556683</v>
      </c>
      <c r="H140" s="52">
        <v>556683</v>
      </c>
      <c r="I140" s="52">
        <v>556683</v>
      </c>
      <c r="J140" s="61">
        <v>556683</v>
      </c>
      <c r="K140" s="61">
        <v>556683</v>
      </c>
      <c r="L140" s="61">
        <v>556683</v>
      </c>
      <c r="M140" s="61">
        <v>556683</v>
      </c>
    </row>
    <row r="141" spans="1:13" x14ac:dyDescent="0.25">
      <c r="A141" s="14" t="s">
        <v>90</v>
      </c>
      <c r="B141" s="52">
        <v>440896</v>
      </c>
      <c r="C141" s="61">
        <v>446331</v>
      </c>
      <c r="D141" s="60">
        <v>440896</v>
      </c>
      <c r="E141" s="60">
        <v>446331</v>
      </c>
      <c r="F141" s="52">
        <v>443049</v>
      </c>
      <c r="G141" s="61">
        <v>448484</v>
      </c>
      <c r="H141" s="52">
        <v>443049</v>
      </c>
      <c r="I141" s="61">
        <v>448484</v>
      </c>
      <c r="J141" s="61">
        <v>152686</v>
      </c>
      <c r="K141" s="61">
        <v>152686</v>
      </c>
      <c r="L141" s="61">
        <v>152686</v>
      </c>
      <c r="M141" s="61">
        <v>152686</v>
      </c>
    </row>
    <row r="142" spans="1:13" x14ac:dyDescent="0.25">
      <c r="A142" s="14" t="s">
        <v>91</v>
      </c>
      <c r="B142" s="52">
        <v>963931</v>
      </c>
      <c r="C142" s="61">
        <f t="shared" ref="C142:L142" si="12">C139-C140-C141</f>
        <v>600586</v>
      </c>
      <c r="D142" s="60">
        <f t="shared" si="12"/>
        <v>235287</v>
      </c>
      <c r="E142" s="73">
        <f t="shared" si="12"/>
        <v>425855</v>
      </c>
      <c r="F142" s="52">
        <f t="shared" si="12"/>
        <v>961378</v>
      </c>
      <c r="G142" s="61">
        <f t="shared" si="12"/>
        <v>598433</v>
      </c>
      <c r="H142" s="60">
        <f t="shared" si="12"/>
        <v>233134</v>
      </c>
      <c r="I142" s="73">
        <f t="shared" si="12"/>
        <v>423702</v>
      </c>
      <c r="J142" s="61">
        <f t="shared" si="12"/>
        <v>1251741</v>
      </c>
      <c r="K142" s="61">
        <f t="shared" si="12"/>
        <v>894231</v>
      </c>
      <c r="L142" s="61">
        <f t="shared" si="12"/>
        <v>523497</v>
      </c>
      <c r="M142" s="73">
        <f t="shared" ref="M142" si="13">M139-M140-M141</f>
        <v>719500</v>
      </c>
    </row>
    <row r="143" spans="1:13" x14ac:dyDescent="0.25">
      <c r="A143" s="14" t="s">
        <v>86</v>
      </c>
      <c r="B143" s="52">
        <f t="shared" ref="B143:M143" si="14">B138/B142</f>
        <v>4.9733850244467703</v>
      </c>
      <c r="C143" s="63">
        <f t="shared" si="14"/>
        <v>8.0488056664657517</v>
      </c>
      <c r="D143" s="71">
        <f t="shared" si="14"/>
        <v>20.375116347269504</v>
      </c>
      <c r="E143" s="52">
        <f t="shared" si="14"/>
        <v>11.351281539491142</v>
      </c>
      <c r="F143" s="52">
        <f t="shared" si="14"/>
        <v>4.3728897478411195</v>
      </c>
      <c r="G143" s="63">
        <f t="shared" si="14"/>
        <v>7.2422476701652485</v>
      </c>
      <c r="H143" s="71">
        <f t="shared" si="14"/>
        <v>18.418591882779861</v>
      </c>
      <c r="I143" s="63">
        <f t="shared" si="14"/>
        <v>10.22888728398733</v>
      </c>
      <c r="J143" s="61">
        <f t="shared" si="14"/>
        <v>0.55442779296995148</v>
      </c>
      <c r="K143" s="61">
        <f t="shared" si="14"/>
        <v>0.77608582122516445</v>
      </c>
      <c r="L143" s="61">
        <f t="shared" si="14"/>
        <v>1.3257000517672499</v>
      </c>
      <c r="M143" s="63">
        <f t="shared" si="14"/>
        <v>0.96455872133425991</v>
      </c>
    </row>
    <row r="144" spans="1:13" ht="30" x14ac:dyDescent="0.25">
      <c r="A144" s="72" t="s">
        <v>151</v>
      </c>
      <c r="B144" s="72" t="s">
        <v>139</v>
      </c>
      <c r="C144" s="72" t="s">
        <v>140</v>
      </c>
      <c r="D144" s="72" t="s">
        <v>141</v>
      </c>
      <c r="E144" s="72" t="s">
        <v>142</v>
      </c>
      <c r="F144" s="72" t="s">
        <v>143</v>
      </c>
      <c r="G144" s="72" t="s">
        <v>144</v>
      </c>
      <c r="H144" s="72" t="s">
        <v>145</v>
      </c>
      <c r="I144" s="72" t="s">
        <v>146</v>
      </c>
      <c r="J144" s="72" t="s">
        <v>147</v>
      </c>
      <c r="K144" s="72" t="s">
        <v>148</v>
      </c>
      <c r="L144" s="72" t="s">
        <v>149</v>
      </c>
      <c r="M144" s="72" t="s">
        <v>150</v>
      </c>
    </row>
    <row r="145" spans="1:13" x14ac:dyDescent="0.25">
      <c r="A145" s="14" t="s">
        <v>87</v>
      </c>
      <c r="B145" s="52">
        <v>4800000</v>
      </c>
      <c r="C145" s="52">
        <v>4840000</v>
      </c>
      <c r="D145" s="52">
        <v>4800000</v>
      </c>
      <c r="E145" s="52">
        <v>4840000</v>
      </c>
      <c r="F145" s="52">
        <f>B145-500000</f>
        <v>4300000</v>
      </c>
      <c r="G145" s="60">
        <f>C145-500000</f>
        <v>4340000</v>
      </c>
      <c r="H145" s="52">
        <f>D145-500000</f>
        <v>4300000</v>
      </c>
      <c r="I145" s="60">
        <f>E145-500000</f>
        <v>4340000</v>
      </c>
      <c r="J145" s="60">
        <v>720000</v>
      </c>
      <c r="K145" s="60">
        <v>720000</v>
      </c>
      <c r="L145" s="60">
        <v>720000</v>
      </c>
      <c r="M145" s="60">
        <v>720000</v>
      </c>
    </row>
    <row r="146" spans="1:13" x14ac:dyDescent="0.25">
      <c r="A146" s="14" t="s">
        <v>88</v>
      </c>
      <c r="B146" s="52">
        <v>1965760</v>
      </c>
      <c r="C146" s="61">
        <v>1693000</v>
      </c>
      <c r="D146" s="60">
        <v>755560</v>
      </c>
      <c r="E146" s="60">
        <v>1614616</v>
      </c>
      <c r="F146" s="52">
        <v>1965760</v>
      </c>
      <c r="G146" s="61">
        <v>1693000</v>
      </c>
      <c r="H146" s="60">
        <v>755560</v>
      </c>
      <c r="I146" s="61">
        <v>1614616</v>
      </c>
      <c r="J146" s="52">
        <v>1965760</v>
      </c>
      <c r="K146" s="61">
        <v>1693000</v>
      </c>
      <c r="L146" s="60">
        <v>755560</v>
      </c>
      <c r="M146" s="61">
        <v>1614616</v>
      </c>
    </row>
    <row r="147" spans="1:13" x14ac:dyDescent="0.25">
      <c r="A147" s="14" t="s">
        <v>89</v>
      </c>
      <c r="B147" s="52">
        <v>604123</v>
      </c>
      <c r="C147" s="52">
        <v>604123</v>
      </c>
      <c r="D147" s="52">
        <v>604123</v>
      </c>
      <c r="E147" s="52">
        <v>604123</v>
      </c>
      <c r="F147" s="52">
        <v>604123</v>
      </c>
      <c r="G147" s="52">
        <v>604123</v>
      </c>
      <c r="H147" s="52">
        <v>604123</v>
      </c>
      <c r="I147" s="52">
        <v>604123</v>
      </c>
      <c r="J147" s="52">
        <v>604123</v>
      </c>
      <c r="K147" s="52">
        <v>604123</v>
      </c>
      <c r="L147" s="52">
        <v>604123</v>
      </c>
      <c r="M147" s="52">
        <v>604123</v>
      </c>
    </row>
    <row r="148" spans="1:13" x14ac:dyDescent="0.25">
      <c r="A148" s="14" t="s">
        <v>90</v>
      </c>
      <c r="B148" s="52">
        <v>444827</v>
      </c>
      <c r="C148" s="52">
        <v>450262</v>
      </c>
      <c r="D148" s="52">
        <v>444827</v>
      </c>
      <c r="E148" s="52">
        <v>450262</v>
      </c>
      <c r="F148" s="52">
        <v>454827</v>
      </c>
      <c r="G148" s="61">
        <v>460262</v>
      </c>
      <c r="H148" s="52">
        <v>454827</v>
      </c>
      <c r="I148" s="61">
        <v>460262</v>
      </c>
      <c r="J148" s="61">
        <v>154953</v>
      </c>
      <c r="K148" s="61">
        <v>154953</v>
      </c>
      <c r="L148" s="61">
        <v>154953</v>
      </c>
      <c r="M148" s="61">
        <v>154953</v>
      </c>
    </row>
    <row r="149" spans="1:13" x14ac:dyDescent="0.25">
      <c r="A149" s="14" t="s">
        <v>91</v>
      </c>
      <c r="B149" s="52">
        <f t="shared" ref="B149:L149" si="15">B146-B147-B148</f>
        <v>916810</v>
      </c>
      <c r="C149" s="61">
        <f t="shared" si="15"/>
        <v>638615</v>
      </c>
      <c r="D149" s="70">
        <f t="shared" si="15"/>
        <v>-293390</v>
      </c>
      <c r="E149" s="60">
        <f t="shared" si="15"/>
        <v>560231</v>
      </c>
      <c r="F149" s="52">
        <f t="shared" si="15"/>
        <v>906810</v>
      </c>
      <c r="G149" s="61">
        <f t="shared" si="15"/>
        <v>628615</v>
      </c>
      <c r="H149" s="70">
        <f t="shared" si="15"/>
        <v>-303390</v>
      </c>
      <c r="I149" s="61">
        <f t="shared" si="15"/>
        <v>550231</v>
      </c>
      <c r="J149" s="61">
        <f t="shared" si="15"/>
        <v>1206684</v>
      </c>
      <c r="K149" s="61">
        <f t="shared" si="15"/>
        <v>933924</v>
      </c>
      <c r="L149" s="70">
        <f t="shared" si="15"/>
        <v>-3516</v>
      </c>
      <c r="M149" s="61">
        <f t="shared" ref="M149" si="16">M146-M147-M148</f>
        <v>855540</v>
      </c>
    </row>
    <row r="150" spans="1:13" x14ac:dyDescent="0.25">
      <c r="A150" s="14" t="s">
        <v>86</v>
      </c>
      <c r="B150" s="52">
        <f>B145/B149</f>
        <v>5.2355449875110436</v>
      </c>
      <c r="C150" s="63">
        <f>C145/C149</f>
        <v>7.5789012159125608</v>
      </c>
      <c r="D150" s="52" t="s">
        <v>108</v>
      </c>
      <c r="E150" s="60">
        <f>E145/E149</f>
        <v>8.639293434315487</v>
      </c>
      <c r="F150" s="52">
        <f>F145/F149</f>
        <v>4.7418974206283568</v>
      </c>
      <c r="G150" s="63">
        <f>G145/G149</f>
        <v>6.9040668771823768</v>
      </c>
      <c r="H150" s="52" t="s">
        <v>108</v>
      </c>
      <c r="I150" s="63">
        <f>I145/I149</f>
        <v>7.8875963004628966</v>
      </c>
      <c r="J150" s="63">
        <f>J145/J149</f>
        <v>0.59667651182911186</v>
      </c>
      <c r="K150" s="61">
        <f>K145/K149</f>
        <v>0.77094067611497297</v>
      </c>
      <c r="L150" s="71" t="s">
        <v>108</v>
      </c>
      <c r="M150" s="61">
        <f>M145/M149</f>
        <v>0.8415737428992216</v>
      </c>
    </row>
    <row r="151" spans="1:13" ht="30" x14ac:dyDescent="0.25">
      <c r="A151" s="76" t="s">
        <v>152</v>
      </c>
      <c r="B151" s="80" t="s">
        <v>139</v>
      </c>
      <c r="C151" s="80" t="s">
        <v>140</v>
      </c>
      <c r="D151" s="80" t="s">
        <v>141</v>
      </c>
      <c r="E151" s="80" t="s">
        <v>142</v>
      </c>
      <c r="F151" s="80" t="s">
        <v>143</v>
      </c>
      <c r="G151" s="80" t="s">
        <v>144</v>
      </c>
      <c r="H151" s="80" t="s">
        <v>145</v>
      </c>
      <c r="I151" s="80" t="s">
        <v>146</v>
      </c>
      <c r="J151" s="80" t="s">
        <v>147</v>
      </c>
      <c r="K151" s="80" t="s">
        <v>148</v>
      </c>
      <c r="L151" s="80" t="s">
        <v>149</v>
      </c>
      <c r="M151" s="80" t="s">
        <v>150</v>
      </c>
    </row>
    <row r="152" spans="1:13" x14ac:dyDescent="0.25">
      <c r="A152" s="14" t="s">
        <v>87</v>
      </c>
      <c r="B152" s="52">
        <v>4730000</v>
      </c>
      <c r="C152" s="52">
        <v>4770000</v>
      </c>
      <c r="D152" s="52">
        <v>4730000</v>
      </c>
      <c r="E152" s="52">
        <v>4770000</v>
      </c>
      <c r="F152" s="52">
        <f>F145-70000</f>
        <v>4230000</v>
      </c>
      <c r="G152" s="60">
        <f>G145-70000</f>
        <v>4270000</v>
      </c>
      <c r="H152" s="60">
        <f>H145-70000</f>
        <v>4230000</v>
      </c>
      <c r="I152" s="60">
        <f>I145-70000</f>
        <v>4270000</v>
      </c>
      <c r="J152" s="60">
        <v>720000</v>
      </c>
      <c r="K152" s="60">
        <v>720000</v>
      </c>
      <c r="L152" s="60">
        <v>720000</v>
      </c>
      <c r="M152" s="60">
        <v>720000</v>
      </c>
    </row>
    <row r="153" spans="1:13" x14ac:dyDescent="0.25">
      <c r="A153" s="14" t="s">
        <v>88</v>
      </c>
      <c r="B153" s="52">
        <v>1961110</v>
      </c>
      <c r="C153" s="61">
        <v>1603600</v>
      </c>
      <c r="D153" s="60">
        <v>1232866</v>
      </c>
      <c r="E153" s="60">
        <v>1428869</v>
      </c>
      <c r="F153" s="52">
        <v>1961110</v>
      </c>
      <c r="G153" s="61">
        <v>1603600</v>
      </c>
      <c r="H153" s="60">
        <v>1232866</v>
      </c>
      <c r="I153" s="60">
        <v>1428869</v>
      </c>
      <c r="J153" s="61">
        <v>1961110</v>
      </c>
      <c r="K153" s="61">
        <v>1603600</v>
      </c>
      <c r="L153" s="61">
        <v>1232866</v>
      </c>
      <c r="M153" s="60">
        <v>1428869</v>
      </c>
    </row>
    <row r="154" spans="1:13" x14ac:dyDescent="0.25">
      <c r="A154" s="14" t="s">
        <v>89</v>
      </c>
      <c r="B154" s="52">
        <v>603123</v>
      </c>
      <c r="C154" s="52">
        <v>603123</v>
      </c>
      <c r="D154" s="52">
        <v>603123</v>
      </c>
      <c r="E154" s="52">
        <v>603123</v>
      </c>
      <c r="F154" s="52">
        <v>603123</v>
      </c>
      <c r="G154" s="52">
        <v>603123</v>
      </c>
      <c r="H154" s="52">
        <v>603123</v>
      </c>
      <c r="I154" s="52">
        <v>603123</v>
      </c>
      <c r="J154" s="52">
        <v>603123</v>
      </c>
      <c r="K154" s="52">
        <v>603123</v>
      </c>
      <c r="L154" s="52">
        <v>603123</v>
      </c>
      <c r="M154" s="52">
        <v>603123</v>
      </c>
    </row>
    <row r="155" spans="1:13" x14ac:dyDescent="0.25">
      <c r="A155" s="14" t="s">
        <v>90</v>
      </c>
      <c r="B155" s="52">
        <v>435316</v>
      </c>
      <c r="C155" s="61">
        <v>440751</v>
      </c>
      <c r="D155" s="60">
        <v>435316</v>
      </c>
      <c r="E155" s="60">
        <v>440751</v>
      </c>
      <c r="F155" s="52">
        <v>445316</v>
      </c>
      <c r="G155" s="61">
        <v>450751</v>
      </c>
      <c r="H155" s="52">
        <v>445316</v>
      </c>
      <c r="I155" s="61">
        <v>450751</v>
      </c>
      <c r="J155" s="61">
        <v>154953</v>
      </c>
      <c r="K155" s="61">
        <v>154953</v>
      </c>
      <c r="L155" s="61">
        <v>154953</v>
      </c>
      <c r="M155" s="61">
        <v>154953</v>
      </c>
    </row>
    <row r="156" spans="1:13" x14ac:dyDescent="0.25">
      <c r="A156" s="14" t="s">
        <v>91</v>
      </c>
      <c r="B156" s="52">
        <v>963931</v>
      </c>
      <c r="C156" s="61">
        <f t="shared" ref="C156:L156" si="17">C153-C154-C155</f>
        <v>559726</v>
      </c>
      <c r="D156" s="60">
        <f t="shared" si="17"/>
        <v>194427</v>
      </c>
      <c r="E156" s="73">
        <f t="shared" si="17"/>
        <v>384995</v>
      </c>
      <c r="F156" s="52">
        <f t="shared" si="17"/>
        <v>912671</v>
      </c>
      <c r="G156" s="61">
        <f t="shared" si="17"/>
        <v>549726</v>
      </c>
      <c r="H156" s="60">
        <f t="shared" si="17"/>
        <v>184427</v>
      </c>
      <c r="I156" s="73">
        <f t="shared" si="17"/>
        <v>374995</v>
      </c>
      <c r="J156" s="61">
        <f t="shared" si="17"/>
        <v>1203034</v>
      </c>
      <c r="K156" s="61">
        <f t="shared" si="17"/>
        <v>845524</v>
      </c>
      <c r="L156" s="61">
        <f t="shared" si="17"/>
        <v>474790</v>
      </c>
      <c r="M156" s="73">
        <f t="shared" ref="M156" si="18">M153-M154-M155</f>
        <v>670793</v>
      </c>
    </row>
    <row r="157" spans="1:13" x14ac:dyDescent="0.25">
      <c r="A157" s="14" t="s">
        <v>86</v>
      </c>
      <c r="B157" s="52">
        <f t="shared" ref="B157:M157" si="19">B152/B156</f>
        <v>4.9069902306285407</v>
      </c>
      <c r="C157" s="63">
        <f t="shared" si="19"/>
        <v>8.5220268488510449</v>
      </c>
      <c r="D157" s="71">
        <f t="shared" si="19"/>
        <v>24.327896845602719</v>
      </c>
      <c r="E157" s="52">
        <f t="shared" si="19"/>
        <v>12.389771295731114</v>
      </c>
      <c r="F157" s="52">
        <f t="shared" si="19"/>
        <v>4.6347478992977758</v>
      </c>
      <c r="G157" s="63">
        <f t="shared" si="19"/>
        <v>7.7675059938951403</v>
      </c>
      <c r="H157" s="71">
        <f t="shared" si="19"/>
        <v>22.93590417888921</v>
      </c>
      <c r="I157" s="63">
        <f t="shared" si="19"/>
        <v>11.386818490913212</v>
      </c>
      <c r="J157" s="61">
        <f t="shared" si="19"/>
        <v>0.5984868258087469</v>
      </c>
      <c r="K157" s="61">
        <f t="shared" si="19"/>
        <v>0.8515429485147672</v>
      </c>
      <c r="L157" s="61">
        <f t="shared" si="19"/>
        <v>1.5164599085911665</v>
      </c>
      <c r="M157" s="63">
        <f t="shared" si="19"/>
        <v>1.0733564601896561</v>
      </c>
    </row>
  </sheetData>
  <pageMargins left="0.7" right="0.7" top="0.75" bottom="0.75" header="0.3" footer="0.3"/>
  <pageSetup paperSize="9" orientation="portrait" r:id="rId1"/>
  <ignoredErrors>
    <ignoredError sqref="H138 G1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32" sqref="C32"/>
    </sheetView>
  </sheetViews>
  <sheetFormatPr defaultRowHeight="15" x14ac:dyDescent="0.25"/>
  <cols>
    <col min="1" max="1" width="66" bestFit="1" customWidth="1"/>
    <col min="2" max="2" width="19.42578125" customWidth="1"/>
    <col min="3" max="3" width="13.85546875" bestFit="1" customWidth="1"/>
    <col min="4" max="4" width="39.140625" customWidth="1"/>
  </cols>
  <sheetData>
    <row r="1" spans="1:5" x14ac:dyDescent="0.25">
      <c r="A1" s="1" t="s">
        <v>185</v>
      </c>
    </row>
    <row r="3" spans="1:5" x14ac:dyDescent="0.25">
      <c r="A3" s="2"/>
      <c r="B3" s="2"/>
      <c r="C3" s="2"/>
      <c r="D3" s="2"/>
    </row>
    <row r="5" spans="1:5" x14ac:dyDescent="0.25">
      <c r="A5" s="96" t="s">
        <v>162</v>
      </c>
      <c r="B5" s="94" t="s">
        <v>182</v>
      </c>
      <c r="C5" s="94" t="s">
        <v>190</v>
      </c>
      <c r="D5" s="94" t="s">
        <v>191</v>
      </c>
    </row>
    <row r="6" spans="1:5" x14ac:dyDescent="0.25">
      <c r="A6" s="84" t="s">
        <v>167</v>
      </c>
      <c r="B6" s="85">
        <f>C6/1000</f>
        <v>495</v>
      </c>
      <c r="C6" s="85">
        <v>495000</v>
      </c>
      <c r="D6" s="85" t="s">
        <v>193</v>
      </c>
    </row>
    <row r="7" spans="1:5" x14ac:dyDescent="0.25">
      <c r="A7" s="84" t="s">
        <v>168</v>
      </c>
      <c r="B7" s="85">
        <f>C7/1000</f>
        <v>231</v>
      </c>
      <c r="C7" s="85">
        <v>231000</v>
      </c>
      <c r="D7" s="85" t="s">
        <v>193</v>
      </c>
    </row>
    <row r="8" spans="1:5" x14ac:dyDescent="0.25">
      <c r="A8" s="84" t="s">
        <v>169</v>
      </c>
      <c r="B8" s="85">
        <f>C8/1000</f>
        <v>231</v>
      </c>
      <c r="C8" s="85">
        <v>231000</v>
      </c>
      <c r="D8" s="85" t="s">
        <v>193</v>
      </c>
    </row>
    <row r="9" spans="1:5" x14ac:dyDescent="0.25">
      <c r="A9" s="84" t="s">
        <v>170</v>
      </c>
      <c r="B9" s="85">
        <f>C9/1000</f>
        <v>206.25</v>
      </c>
      <c r="C9" s="85">
        <v>206250</v>
      </c>
      <c r="D9" s="85" t="s">
        <v>193</v>
      </c>
    </row>
    <row r="10" spans="1:5" ht="60" x14ac:dyDescent="0.25">
      <c r="A10" s="84" t="s">
        <v>186</v>
      </c>
      <c r="B10" s="100">
        <f>E10/1000</f>
        <v>1.4279999999999999</v>
      </c>
      <c r="C10" s="85">
        <v>50000</v>
      </c>
      <c r="D10" s="101" t="s">
        <v>192</v>
      </c>
      <c r="E10">
        <v>1428</v>
      </c>
    </row>
    <row r="11" spans="1:5" ht="30" x14ac:dyDescent="0.25">
      <c r="A11" s="84" t="s">
        <v>173</v>
      </c>
      <c r="B11" s="85">
        <f>C11/10000</f>
        <v>142.66720000000001</v>
      </c>
      <c r="C11" s="85">
        <v>1426672</v>
      </c>
      <c r="D11" s="101" t="s">
        <v>194</v>
      </c>
    </row>
    <row r="12" spans="1:5" x14ac:dyDescent="0.25">
      <c r="A12" s="86" t="s">
        <v>183</v>
      </c>
      <c r="B12" s="87">
        <f>SUM(B6:B11)</f>
        <v>1307.3452000000002</v>
      </c>
      <c r="C12" s="87">
        <f>SUM(C6:C11)</f>
        <v>2639922</v>
      </c>
      <c r="D12" s="87"/>
    </row>
    <row r="13" spans="1:5" x14ac:dyDescent="0.25">
      <c r="A13" s="97" t="s">
        <v>27</v>
      </c>
      <c r="B13" s="94" t="s">
        <v>182</v>
      </c>
      <c r="C13" s="95"/>
      <c r="D13" s="95"/>
    </row>
    <row r="14" spans="1:5" x14ac:dyDescent="0.25">
      <c r="A14" s="90" t="s">
        <v>175</v>
      </c>
      <c r="B14" s="91"/>
      <c r="C14" s="92" t="s">
        <v>165</v>
      </c>
      <c r="D14" s="92"/>
      <c r="E14" t="s">
        <v>189</v>
      </c>
    </row>
    <row r="15" spans="1:5" ht="30" x14ac:dyDescent="0.25">
      <c r="A15" s="93" t="s">
        <v>176</v>
      </c>
      <c r="B15" s="91">
        <f>C15/10000</f>
        <v>75</v>
      </c>
      <c r="C15" s="91">
        <v>750000</v>
      </c>
      <c r="D15" s="101" t="s">
        <v>194</v>
      </c>
    </row>
    <row r="16" spans="1:5" ht="30" x14ac:dyDescent="0.25">
      <c r="A16" s="93" t="s">
        <v>177</v>
      </c>
      <c r="B16" s="91">
        <f>C16/10000</f>
        <v>37.5</v>
      </c>
      <c r="C16" s="91">
        <v>375000</v>
      </c>
      <c r="D16" s="101" t="s">
        <v>194</v>
      </c>
    </row>
    <row r="17" spans="1:4" ht="30" x14ac:dyDescent="0.25">
      <c r="A17" s="93" t="s">
        <v>178</v>
      </c>
      <c r="B17" s="91">
        <f>C17/10000</f>
        <v>105.21</v>
      </c>
      <c r="C17" s="91">
        <v>1052100</v>
      </c>
      <c r="D17" s="101" t="s">
        <v>194</v>
      </c>
    </row>
    <row r="18" spans="1:4" ht="30" x14ac:dyDescent="0.25">
      <c r="A18" s="93" t="s">
        <v>181</v>
      </c>
      <c r="B18" s="91">
        <f>C18/10000</f>
        <v>80.2</v>
      </c>
      <c r="C18" s="91">
        <v>802000</v>
      </c>
      <c r="D18" s="101" t="s">
        <v>194</v>
      </c>
    </row>
    <row r="19" spans="1:4" x14ac:dyDescent="0.25">
      <c r="A19" s="90" t="s">
        <v>183</v>
      </c>
      <c r="B19" s="92">
        <f>SUM(B15:B18)</f>
        <v>297.90999999999997</v>
      </c>
      <c r="C19" s="92">
        <f>SUM(C15:C18)</f>
        <v>2979100</v>
      </c>
      <c r="D19" s="92"/>
    </row>
    <row r="20" spans="1:4" x14ac:dyDescent="0.25">
      <c r="A20" s="90"/>
      <c r="B20" s="92"/>
      <c r="C20" s="92"/>
      <c r="D20" s="9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33" sqref="A33"/>
    </sheetView>
  </sheetViews>
  <sheetFormatPr defaultRowHeight="15" x14ac:dyDescent="0.25"/>
  <cols>
    <col min="1" max="1" width="67.28515625" bestFit="1" customWidth="1"/>
    <col min="2" max="2" width="7.28515625" bestFit="1" customWidth="1"/>
    <col min="3" max="3" width="14.5703125" bestFit="1" customWidth="1"/>
    <col min="4" max="5" width="10.140625" bestFit="1" customWidth="1"/>
  </cols>
  <sheetData>
    <row r="1" spans="1:5" x14ac:dyDescent="0.25">
      <c r="A1" s="96" t="s">
        <v>162</v>
      </c>
      <c r="B1" s="94" t="s">
        <v>163</v>
      </c>
      <c r="C1" s="94" t="s">
        <v>164</v>
      </c>
      <c r="D1" s="94" t="s">
        <v>165</v>
      </c>
      <c r="E1" s="94" t="s">
        <v>166</v>
      </c>
    </row>
    <row r="2" spans="1:5" x14ac:dyDescent="0.25">
      <c r="A2" s="84" t="s">
        <v>167</v>
      </c>
      <c r="B2" s="85">
        <v>30000</v>
      </c>
      <c r="C2" s="85">
        <v>45000</v>
      </c>
      <c r="D2" s="85">
        <v>495000</v>
      </c>
      <c r="E2" s="85">
        <v>495000</v>
      </c>
    </row>
    <row r="3" spans="1:5" x14ac:dyDescent="0.25">
      <c r="A3" s="84" t="s">
        <v>168</v>
      </c>
      <c r="B3" s="85">
        <v>14000</v>
      </c>
      <c r="C3" s="85">
        <v>21000</v>
      </c>
      <c r="D3" s="85">
        <v>231000</v>
      </c>
      <c r="E3" s="85">
        <v>231000</v>
      </c>
    </row>
    <row r="4" spans="1:5" x14ac:dyDescent="0.25">
      <c r="A4" s="84" t="s">
        <v>169</v>
      </c>
      <c r="B4" s="85">
        <v>14000</v>
      </c>
      <c r="C4" s="85">
        <v>21000</v>
      </c>
      <c r="D4" s="85">
        <v>231000</v>
      </c>
      <c r="E4" s="85">
        <v>231000</v>
      </c>
    </row>
    <row r="5" spans="1:5" x14ac:dyDescent="0.25">
      <c r="A5" s="84" t="s">
        <v>170</v>
      </c>
      <c r="B5" s="85">
        <v>12500</v>
      </c>
      <c r="C5" s="85">
        <v>18750</v>
      </c>
      <c r="D5" s="85">
        <v>206250</v>
      </c>
      <c r="E5" s="85">
        <v>206250</v>
      </c>
    </row>
    <row r="6" spans="1:5" x14ac:dyDescent="0.25">
      <c r="A6" s="84" t="s">
        <v>171</v>
      </c>
      <c r="B6" s="85"/>
      <c r="C6" s="85"/>
      <c r="D6" s="85">
        <v>50000</v>
      </c>
      <c r="E6" s="85">
        <v>50000</v>
      </c>
    </row>
    <row r="7" spans="1:5" x14ac:dyDescent="0.25">
      <c r="A7" s="84" t="s">
        <v>172</v>
      </c>
      <c r="B7" s="85">
        <v>50000</v>
      </c>
      <c r="C7" s="85"/>
      <c r="D7" s="85">
        <v>600000</v>
      </c>
      <c r="E7" s="85">
        <v>600000</v>
      </c>
    </row>
    <row r="8" spans="1:5" x14ac:dyDescent="0.25">
      <c r="A8" s="84" t="s">
        <v>173</v>
      </c>
      <c r="B8" s="85">
        <v>86465</v>
      </c>
      <c r="C8" s="85">
        <v>1296975</v>
      </c>
      <c r="D8" s="85">
        <v>1426672</v>
      </c>
      <c r="E8" s="85">
        <v>1426672</v>
      </c>
    </row>
    <row r="9" spans="1:5" x14ac:dyDescent="0.25">
      <c r="A9" s="86" t="s">
        <v>174</v>
      </c>
      <c r="B9" s="87"/>
      <c r="C9" s="87"/>
      <c r="D9" s="87">
        <v>3239922</v>
      </c>
      <c r="E9" s="87">
        <v>3239922</v>
      </c>
    </row>
    <row r="10" spans="1:5" x14ac:dyDescent="0.25">
      <c r="A10" s="88"/>
      <c r="B10" s="89"/>
      <c r="C10" s="89"/>
      <c r="D10" s="89"/>
      <c r="E10" s="89"/>
    </row>
    <row r="11" spans="1:5" x14ac:dyDescent="0.25">
      <c r="A11" s="88"/>
      <c r="B11" s="89"/>
      <c r="C11" s="89"/>
      <c r="D11" s="89"/>
      <c r="E11" s="89"/>
    </row>
    <row r="12" spans="1:5" x14ac:dyDescent="0.25">
      <c r="A12" s="97" t="s">
        <v>27</v>
      </c>
      <c r="B12" s="95"/>
      <c r="C12" s="95"/>
      <c r="D12" s="95"/>
      <c r="E12" s="95"/>
    </row>
    <row r="13" spans="1:5" x14ac:dyDescent="0.25">
      <c r="A13" s="90" t="s">
        <v>175</v>
      </c>
      <c r="B13" s="91"/>
      <c r="C13" s="91"/>
      <c r="D13" s="92" t="s">
        <v>165</v>
      </c>
      <c r="E13" s="92" t="s">
        <v>166</v>
      </c>
    </row>
    <row r="14" spans="1:5" x14ac:dyDescent="0.25">
      <c r="A14" s="93" t="s">
        <v>176</v>
      </c>
      <c r="B14" s="91"/>
      <c r="C14" s="91"/>
      <c r="D14" s="91">
        <v>750000</v>
      </c>
      <c r="E14" s="91">
        <v>750000</v>
      </c>
    </row>
    <row r="15" spans="1:5" x14ac:dyDescent="0.25">
      <c r="A15" s="93" t="s">
        <v>177</v>
      </c>
      <c r="B15" s="91"/>
      <c r="C15" s="91"/>
      <c r="D15" s="91">
        <v>375000</v>
      </c>
      <c r="E15" s="91">
        <v>375000</v>
      </c>
    </row>
    <row r="16" spans="1:5" x14ac:dyDescent="0.25">
      <c r="A16" s="93" t="s">
        <v>178</v>
      </c>
      <c r="B16" s="91"/>
      <c r="C16" s="91"/>
      <c r="D16" s="91">
        <v>1052100</v>
      </c>
      <c r="E16" s="91">
        <v>1052100</v>
      </c>
    </row>
    <row r="17" spans="1:5" x14ac:dyDescent="0.25">
      <c r="A17" s="93" t="s">
        <v>181</v>
      </c>
      <c r="B17" s="91"/>
      <c r="C17" s="91"/>
      <c r="D17" s="91">
        <v>802000</v>
      </c>
      <c r="E17" s="91">
        <v>802000</v>
      </c>
    </row>
    <row r="18" spans="1:5" x14ac:dyDescent="0.25">
      <c r="A18" s="93" t="s">
        <v>179</v>
      </c>
      <c r="B18" s="91"/>
      <c r="C18" s="91"/>
      <c r="D18" s="91">
        <v>300000</v>
      </c>
      <c r="E18" s="91">
        <v>300000</v>
      </c>
    </row>
    <row r="19" spans="1:5" x14ac:dyDescent="0.25">
      <c r="A19" s="93"/>
      <c r="B19" s="91"/>
      <c r="C19" s="91"/>
      <c r="D19" s="91"/>
      <c r="E19" s="91"/>
    </row>
    <row r="20" spans="1:5" x14ac:dyDescent="0.25">
      <c r="A20" s="90" t="s">
        <v>85</v>
      </c>
      <c r="B20" s="92"/>
      <c r="C20" s="92"/>
      <c r="D20" s="92">
        <v>3279100</v>
      </c>
      <c r="E20" s="92">
        <v>3279100</v>
      </c>
    </row>
    <row r="21" spans="1:5" x14ac:dyDescent="0.25">
      <c r="A21" s="90" t="s">
        <v>180</v>
      </c>
      <c r="B21" s="92"/>
      <c r="C21" s="92"/>
      <c r="D21" s="92">
        <f>D20-D9</f>
        <v>39178</v>
      </c>
      <c r="E21" s="92">
        <f>E20-E9</f>
        <v>39178</v>
      </c>
    </row>
    <row r="22" spans="1:5" x14ac:dyDescent="0.25">
      <c r="A22" s="82"/>
      <c r="B22" s="82"/>
      <c r="C22" s="82"/>
      <c r="D22" s="82"/>
      <c r="E22" s="8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19" sqref="B19"/>
    </sheetView>
  </sheetViews>
  <sheetFormatPr defaultRowHeight="15" x14ac:dyDescent="0.25"/>
  <cols>
    <col min="1" max="1" width="30.42578125" bestFit="1" customWidth="1"/>
    <col min="2" max="3" width="18.140625" customWidth="1"/>
    <col min="4" max="4" width="17.85546875" customWidth="1"/>
    <col min="5" max="5" width="16.7109375" customWidth="1"/>
  </cols>
  <sheetData>
    <row r="1" spans="1:5" ht="57.75" customHeight="1" x14ac:dyDescent="0.25">
      <c r="A1" s="103" t="s">
        <v>205</v>
      </c>
      <c r="B1" s="72" t="s">
        <v>110</v>
      </c>
      <c r="C1" s="72" t="s">
        <v>111</v>
      </c>
      <c r="D1" s="72" t="s">
        <v>112</v>
      </c>
      <c r="E1" s="72" t="s">
        <v>113</v>
      </c>
    </row>
    <row r="2" spans="1:5" x14ac:dyDescent="0.25">
      <c r="A2" s="14" t="s">
        <v>87</v>
      </c>
      <c r="B2" s="52">
        <v>4864000</v>
      </c>
      <c r="C2" s="52">
        <v>4904000</v>
      </c>
      <c r="D2" s="52">
        <v>4864000</v>
      </c>
      <c r="E2" s="52">
        <v>4904000</v>
      </c>
    </row>
    <row r="3" spans="1:5" x14ac:dyDescent="0.25">
      <c r="A3" s="14" t="s">
        <v>88</v>
      </c>
      <c r="B3" s="52">
        <v>2163670</v>
      </c>
      <c r="C3" s="52">
        <v>1890910</v>
      </c>
      <c r="D3" s="52">
        <v>953470.00000000012</v>
      </c>
      <c r="E3" s="52">
        <v>1812526</v>
      </c>
    </row>
    <row r="4" spans="1:5" x14ac:dyDescent="0.25">
      <c r="A4" s="14" t="s">
        <v>89</v>
      </c>
      <c r="B4" s="52">
        <v>1459167.5</v>
      </c>
      <c r="C4" s="52">
        <v>1459167.5</v>
      </c>
      <c r="D4" s="52">
        <v>1459167.5</v>
      </c>
      <c r="E4" s="52">
        <v>1459167.5</v>
      </c>
    </row>
    <row r="5" spans="1:5" x14ac:dyDescent="0.25">
      <c r="A5" s="14" t="s">
        <v>90</v>
      </c>
      <c r="B5" s="52">
        <v>448226.71418211702</v>
      </c>
      <c r="C5" s="52">
        <v>453661.43251093233</v>
      </c>
      <c r="D5" s="52">
        <v>448226.71418211702</v>
      </c>
      <c r="E5" s="52">
        <v>453661.43251093233</v>
      </c>
    </row>
    <row r="6" spans="1:5" x14ac:dyDescent="0.25">
      <c r="A6" s="14" t="s">
        <v>91</v>
      </c>
      <c r="B6" s="52">
        <v>256275.78581788298</v>
      </c>
      <c r="C6" s="71">
        <v>-21918.932510932325</v>
      </c>
      <c r="D6" s="71">
        <v>-953924.21418211691</v>
      </c>
      <c r="E6" s="71">
        <v>-100302.93251093233</v>
      </c>
    </row>
    <row r="7" spans="1:5" x14ac:dyDescent="0.25">
      <c r="A7" s="14" t="s">
        <v>86</v>
      </c>
      <c r="B7" s="69">
        <v>18.979553548053502</v>
      </c>
      <c r="C7" s="105" t="s">
        <v>108</v>
      </c>
      <c r="D7" s="105" t="s">
        <v>108</v>
      </c>
      <c r="E7" s="105" t="s">
        <v>108</v>
      </c>
    </row>
    <row r="8" spans="1:5" ht="52.5" customHeight="1" x14ac:dyDescent="0.25">
      <c r="A8" s="104" t="s">
        <v>206</v>
      </c>
      <c r="B8" s="75" t="s">
        <v>110</v>
      </c>
      <c r="C8" s="75" t="s">
        <v>111</v>
      </c>
      <c r="D8" s="75" t="s">
        <v>112</v>
      </c>
      <c r="E8" s="75" t="s">
        <v>113</v>
      </c>
    </row>
    <row r="9" spans="1:5" x14ac:dyDescent="0.25">
      <c r="A9" s="14" t="s">
        <v>87</v>
      </c>
      <c r="B9" s="52">
        <v>4794000</v>
      </c>
      <c r="C9" s="52">
        <v>4834000</v>
      </c>
      <c r="D9" s="61">
        <v>4794000</v>
      </c>
      <c r="E9" s="60">
        <v>4834000</v>
      </c>
    </row>
    <row r="10" spans="1:5" x14ac:dyDescent="0.25">
      <c r="A10" s="14" t="s">
        <v>88</v>
      </c>
      <c r="B10" s="52">
        <v>2159020</v>
      </c>
      <c r="C10" s="60">
        <v>1801569.9999999998</v>
      </c>
      <c r="D10" s="61">
        <v>1430776</v>
      </c>
      <c r="E10" s="60">
        <v>1870391.2</v>
      </c>
    </row>
    <row r="11" spans="1:5" x14ac:dyDescent="0.25">
      <c r="A11" s="14" t="s">
        <v>89</v>
      </c>
      <c r="B11" s="52">
        <v>1459167.5</v>
      </c>
      <c r="C11" s="52">
        <v>1459167.5</v>
      </c>
      <c r="D11" s="61">
        <v>1459167.5</v>
      </c>
      <c r="E11" s="52">
        <v>1459167.5</v>
      </c>
    </row>
    <row r="12" spans="1:5" x14ac:dyDescent="0.25">
      <c r="A12" s="14" t="s">
        <v>90</v>
      </c>
      <c r="B12" s="52">
        <v>440895.95710669016</v>
      </c>
      <c r="C12" s="60">
        <v>446330.67543550546</v>
      </c>
      <c r="D12" s="61">
        <v>440895.95710669016</v>
      </c>
      <c r="E12" s="60">
        <v>446330.67543550546</v>
      </c>
    </row>
    <row r="13" spans="1:5" x14ac:dyDescent="0.25">
      <c r="A13" s="14" t="s">
        <v>91</v>
      </c>
      <c r="B13" s="52">
        <v>258956.54289330984</v>
      </c>
      <c r="C13" s="70">
        <v>-103928.17543550569</v>
      </c>
      <c r="D13" s="70">
        <v>-469287.45710669016</v>
      </c>
      <c r="E13" s="70">
        <v>-35106.975435505505</v>
      </c>
    </row>
    <row r="14" spans="1:5" x14ac:dyDescent="0.25">
      <c r="A14" s="14" t="s">
        <v>86</v>
      </c>
      <c r="B14" s="69">
        <v>18.512758729464231</v>
      </c>
      <c r="C14" s="105" t="s">
        <v>108</v>
      </c>
      <c r="D14" s="105" t="s">
        <v>108</v>
      </c>
      <c r="E14" s="105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18" sqref="E18"/>
    </sheetView>
  </sheetViews>
  <sheetFormatPr defaultRowHeight="15" x14ac:dyDescent="0.25"/>
  <cols>
    <col min="1" max="1" width="17.85546875" bestFit="1" customWidth="1"/>
    <col min="2" max="2" width="29.85546875" bestFit="1" customWidth="1"/>
    <col min="5" max="5" width="27.5703125" bestFit="1" customWidth="1"/>
  </cols>
  <sheetData>
    <row r="1" spans="1:8" ht="21" x14ac:dyDescent="0.35">
      <c r="A1" s="106" t="s">
        <v>207</v>
      </c>
    </row>
    <row r="3" spans="1:8" x14ac:dyDescent="0.25">
      <c r="A3" s="2"/>
      <c r="B3" s="2"/>
      <c r="E3" s="83" t="s">
        <v>208</v>
      </c>
      <c r="F3" s="14" t="s">
        <v>209</v>
      </c>
      <c r="G3" s="14" t="s">
        <v>31</v>
      </c>
      <c r="H3" s="14" t="s">
        <v>210</v>
      </c>
    </row>
    <row r="4" spans="1:8" x14ac:dyDescent="0.25">
      <c r="A4" s="14" t="s">
        <v>211</v>
      </c>
      <c r="B4" s="107" t="s">
        <v>212</v>
      </c>
      <c r="E4" s="12" t="s">
        <v>213</v>
      </c>
      <c r="F4" s="12">
        <v>34</v>
      </c>
      <c r="G4" s="12">
        <v>46</v>
      </c>
      <c r="H4" s="12">
        <v>68</v>
      </c>
    </row>
    <row r="5" spans="1:8" x14ac:dyDescent="0.25">
      <c r="A5" s="12" t="s">
        <v>214</v>
      </c>
      <c r="B5" s="108" t="s">
        <v>215</v>
      </c>
      <c r="E5" s="12" t="s">
        <v>216</v>
      </c>
      <c r="F5" s="12">
        <v>26</v>
      </c>
      <c r="G5" s="12">
        <v>54</v>
      </c>
      <c r="H5" s="12">
        <v>96</v>
      </c>
    </row>
    <row r="6" spans="1:8" x14ac:dyDescent="0.25">
      <c r="A6" s="12" t="s">
        <v>216</v>
      </c>
      <c r="B6" s="108" t="s">
        <v>217</v>
      </c>
      <c r="E6" s="12" t="s">
        <v>218</v>
      </c>
      <c r="F6" s="12">
        <v>12</v>
      </c>
      <c r="G6" s="12">
        <v>18</v>
      </c>
      <c r="H6" s="12">
        <v>30</v>
      </c>
    </row>
    <row r="7" spans="1:8" x14ac:dyDescent="0.25">
      <c r="A7" s="12" t="s">
        <v>218</v>
      </c>
      <c r="B7" s="108" t="s">
        <v>219</v>
      </c>
      <c r="D7" s="109"/>
      <c r="E7" s="83" t="s">
        <v>220</v>
      </c>
      <c r="F7" s="14" t="s">
        <v>209</v>
      </c>
      <c r="G7" s="14" t="s">
        <v>31</v>
      </c>
      <c r="H7" s="14" t="s">
        <v>210</v>
      </c>
    </row>
    <row r="8" spans="1:8" x14ac:dyDescent="0.25">
      <c r="A8" s="12" t="s">
        <v>221</v>
      </c>
      <c r="B8" s="108"/>
      <c r="E8" s="12" t="s">
        <v>213</v>
      </c>
      <c r="F8" s="12">
        <v>12</v>
      </c>
      <c r="G8" s="12">
        <v>27</v>
      </c>
      <c r="H8" s="12">
        <v>39</v>
      </c>
    </row>
    <row r="9" spans="1:8" x14ac:dyDescent="0.25">
      <c r="B9" s="15"/>
      <c r="E9" s="12" t="s">
        <v>216</v>
      </c>
      <c r="F9" s="12">
        <v>25</v>
      </c>
      <c r="G9" s="12">
        <v>28.5</v>
      </c>
      <c r="H9" s="12">
        <v>32</v>
      </c>
    </row>
    <row r="10" spans="1:8" x14ac:dyDescent="0.25">
      <c r="B10" s="15"/>
      <c r="E10" s="12" t="s">
        <v>218</v>
      </c>
      <c r="F10" s="12">
        <v>8.4</v>
      </c>
      <c r="G10" s="12">
        <v>12.6</v>
      </c>
      <c r="H10" s="12">
        <v>21</v>
      </c>
    </row>
    <row r="11" spans="1:8" x14ac:dyDescent="0.25">
      <c r="B11" s="15"/>
    </row>
    <row r="12" spans="1:8" x14ac:dyDescent="0.25">
      <c r="A12" s="14" t="s">
        <v>222</v>
      </c>
      <c r="B12" s="107" t="s">
        <v>223</v>
      </c>
    </row>
    <row r="13" spans="1:8" x14ac:dyDescent="0.25">
      <c r="A13" s="12" t="s">
        <v>214</v>
      </c>
      <c r="B13" s="108" t="s">
        <v>224</v>
      </c>
    </row>
    <row r="14" spans="1:8" x14ac:dyDescent="0.25">
      <c r="A14" s="12" t="s">
        <v>216</v>
      </c>
      <c r="B14" s="108">
        <v>25.32</v>
      </c>
    </row>
    <row r="15" spans="1:8" x14ac:dyDescent="0.25">
      <c r="A15" s="12" t="s">
        <v>218</v>
      </c>
      <c r="B15" s="108"/>
    </row>
    <row r="16" spans="1:8" x14ac:dyDescent="0.25">
      <c r="A16" s="12" t="s">
        <v>221</v>
      </c>
      <c r="B16" s="10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22" sqref="D22"/>
    </sheetView>
  </sheetViews>
  <sheetFormatPr defaultRowHeight="15" x14ac:dyDescent="0.25"/>
  <cols>
    <col min="1" max="1" width="36.42578125" customWidth="1"/>
  </cols>
  <sheetData>
    <row r="1" spans="1:3" x14ac:dyDescent="0.25">
      <c r="A1" t="s">
        <v>225</v>
      </c>
    </row>
    <row r="4" spans="1:3" x14ac:dyDescent="0.25">
      <c r="A4" s="110" t="s">
        <v>226</v>
      </c>
      <c r="B4" s="110" t="s">
        <v>227</v>
      </c>
      <c r="C4" s="110" t="s">
        <v>228</v>
      </c>
    </row>
    <row r="6" spans="1:3" x14ac:dyDescent="0.25">
      <c r="A6" s="2"/>
      <c r="B6" s="2"/>
      <c r="C6" s="2"/>
    </row>
    <row r="7" spans="1:3" x14ac:dyDescent="0.25">
      <c r="A7" s="2" t="s">
        <v>229</v>
      </c>
      <c r="B7" s="2"/>
      <c r="C7" s="2"/>
    </row>
    <row r="9" spans="1:3" x14ac:dyDescent="0.25">
      <c r="A9" s="49" t="s">
        <v>230</v>
      </c>
      <c r="B9" s="49" t="s">
        <v>231</v>
      </c>
      <c r="C9" s="49" t="s">
        <v>182</v>
      </c>
    </row>
    <row r="10" spans="1:3" x14ac:dyDescent="0.25">
      <c r="A10" s="12" t="s">
        <v>232</v>
      </c>
      <c r="B10" s="48">
        <v>0.99380000000000002</v>
      </c>
      <c r="C10" s="48">
        <f>B10*166.22</f>
        <v>165.189436</v>
      </c>
    </row>
    <row r="11" spans="1:3" x14ac:dyDescent="0.25">
      <c r="A11" s="12" t="s">
        <v>31</v>
      </c>
      <c r="B11" s="48">
        <v>1.2012</v>
      </c>
      <c r="C11" s="48">
        <f>B11*166.22</f>
        <v>199.663464</v>
      </c>
    </row>
    <row r="12" spans="1:3" x14ac:dyDescent="0.25">
      <c r="A12" s="12" t="s">
        <v>210</v>
      </c>
      <c r="B12" s="48">
        <v>1.337</v>
      </c>
      <c r="C12" s="48">
        <f>B12*166.22</f>
        <v>222.23614000000001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topLeftCell="A6" workbookViewId="0">
      <selection activeCell="F10" sqref="F10:J45"/>
    </sheetView>
  </sheetViews>
  <sheetFormatPr defaultRowHeight="15" x14ac:dyDescent="0.25"/>
  <cols>
    <col min="1" max="1" width="23" customWidth="1"/>
    <col min="3" max="3" width="12.7109375" bestFit="1" customWidth="1"/>
    <col min="6" max="6" width="24.140625" bestFit="1" customWidth="1"/>
    <col min="7" max="7" width="16.42578125" bestFit="1" customWidth="1"/>
    <col min="8" max="8" width="12" bestFit="1" customWidth="1"/>
    <col min="9" max="9" width="21.5703125" bestFit="1" customWidth="1"/>
    <col min="10" max="10" width="22.28515625" bestFit="1" customWidth="1"/>
    <col min="11" max="11" width="12" customWidth="1"/>
  </cols>
  <sheetData>
    <row r="1" spans="1:15" x14ac:dyDescent="0.25">
      <c r="A1" s="1" t="s">
        <v>233</v>
      </c>
      <c r="I1" s="15"/>
    </row>
    <row r="2" spans="1:15" x14ac:dyDescent="0.25">
      <c r="I2" s="15"/>
    </row>
    <row r="3" spans="1:15" x14ac:dyDescent="0.25">
      <c r="I3" s="15"/>
    </row>
    <row r="4" spans="1:15" x14ac:dyDescent="0.25">
      <c r="A4" s="111" t="s">
        <v>218</v>
      </c>
      <c r="B4" s="111" t="s">
        <v>234</v>
      </c>
      <c r="C4" s="111" t="s">
        <v>222</v>
      </c>
      <c r="I4" s="15"/>
    </row>
    <row r="5" spans="1:15" x14ac:dyDescent="0.25">
      <c r="A5" s="12" t="s">
        <v>235</v>
      </c>
      <c r="B5" s="12">
        <v>29.9</v>
      </c>
      <c r="C5" s="12"/>
      <c r="I5" s="15"/>
    </row>
    <row r="6" spans="1:15" x14ac:dyDescent="0.25">
      <c r="A6" s="12" t="s">
        <v>236</v>
      </c>
      <c r="B6" s="12">
        <v>28.9</v>
      </c>
      <c r="C6" s="12">
        <v>116.33</v>
      </c>
      <c r="I6" s="15"/>
    </row>
    <row r="7" spans="1:15" x14ac:dyDescent="0.25">
      <c r="A7" s="12" t="s">
        <v>236</v>
      </c>
      <c r="B7" s="12">
        <v>30.7</v>
      </c>
      <c r="C7" s="12"/>
      <c r="I7" s="15"/>
    </row>
    <row r="8" spans="1:15" x14ac:dyDescent="0.25">
      <c r="A8" s="12" t="s">
        <v>237</v>
      </c>
      <c r="B8" s="12"/>
      <c r="C8" s="12">
        <v>85.56</v>
      </c>
      <c r="I8" s="15"/>
    </row>
    <row r="9" spans="1:15" x14ac:dyDescent="0.25">
      <c r="A9" s="12" t="s">
        <v>238</v>
      </c>
      <c r="B9" s="12">
        <v>45</v>
      </c>
      <c r="C9" s="12">
        <v>99.83</v>
      </c>
      <c r="I9" s="15"/>
    </row>
    <row r="10" spans="1:15" ht="15.75" x14ac:dyDescent="0.25">
      <c r="A10" s="12" t="s">
        <v>239</v>
      </c>
      <c r="B10" s="12">
        <v>34.9</v>
      </c>
      <c r="C10" s="12"/>
      <c r="F10" s="126" t="s">
        <v>240</v>
      </c>
      <c r="G10" s="126" t="s">
        <v>234</v>
      </c>
      <c r="H10" s="126" t="s">
        <v>222</v>
      </c>
      <c r="I10" s="127" t="s">
        <v>241</v>
      </c>
      <c r="J10" s="126" t="s">
        <v>242</v>
      </c>
      <c r="L10" s="112" t="s">
        <v>243</v>
      </c>
      <c r="M10" s="12" t="s">
        <v>244</v>
      </c>
      <c r="N10" s="12" t="s">
        <v>245</v>
      </c>
    </row>
    <row r="11" spans="1:15" ht="15.75" x14ac:dyDescent="0.25">
      <c r="A11" s="14" t="s">
        <v>209</v>
      </c>
      <c r="B11" s="14">
        <f>MIN(B5:B10)</f>
        <v>28.9</v>
      </c>
      <c r="C11" s="14">
        <f>MIN(C5:C10)</f>
        <v>85.56</v>
      </c>
      <c r="F11" s="113" t="s">
        <v>209</v>
      </c>
      <c r="G11" s="114">
        <v>28.9</v>
      </c>
      <c r="H11" s="114">
        <v>85.56</v>
      </c>
      <c r="I11" s="115">
        <f>H11-G11</f>
        <v>56.660000000000004</v>
      </c>
      <c r="J11" s="116">
        <f>H11/G11</f>
        <v>2.9605536332179931</v>
      </c>
      <c r="L11" s="12" t="s">
        <v>246</v>
      </c>
      <c r="M11" s="12"/>
      <c r="N11" s="12"/>
    </row>
    <row r="12" spans="1:15" ht="15.75" x14ac:dyDescent="0.25">
      <c r="A12" s="14" t="s">
        <v>31</v>
      </c>
      <c r="B12" s="14">
        <f>AVERAGE(B5:B10)</f>
        <v>33.880000000000003</v>
      </c>
      <c r="C12" s="14">
        <f>AVERAGE(C5:C10)</f>
        <v>100.57333333333332</v>
      </c>
      <c r="F12" s="113" t="s">
        <v>31</v>
      </c>
      <c r="G12" s="114">
        <v>33.880000000000003</v>
      </c>
      <c r="H12" s="114">
        <v>92.694999999999993</v>
      </c>
      <c r="I12" s="115">
        <f>H12-G12</f>
        <v>58.814999999999991</v>
      </c>
      <c r="J12" s="116">
        <f>H12/G12</f>
        <v>2.735979929161747</v>
      </c>
      <c r="L12" s="12" t="s">
        <v>247</v>
      </c>
      <c r="M12" s="12"/>
      <c r="N12" s="12"/>
    </row>
    <row r="13" spans="1:15" ht="15.75" x14ac:dyDescent="0.25">
      <c r="A13" s="14" t="s">
        <v>210</v>
      </c>
      <c r="B13" s="14">
        <f>MAX(B5:B10)</f>
        <v>45</v>
      </c>
      <c r="C13" s="14">
        <f>MAX(C5:C10)</f>
        <v>116.33</v>
      </c>
      <c r="F13" s="113" t="s">
        <v>210</v>
      </c>
      <c r="G13" s="114">
        <v>45</v>
      </c>
      <c r="H13" s="114">
        <v>99.83</v>
      </c>
      <c r="I13" s="115">
        <f>H13-G13</f>
        <v>54.83</v>
      </c>
      <c r="J13" s="116">
        <f>H13/G13</f>
        <v>2.2184444444444442</v>
      </c>
      <c r="L13" s="12" t="s">
        <v>248</v>
      </c>
      <c r="M13" s="12"/>
      <c r="N13" s="12"/>
    </row>
    <row r="14" spans="1:15" ht="15.75" x14ac:dyDescent="0.25">
      <c r="F14" s="126" t="s">
        <v>249</v>
      </c>
      <c r="G14" s="126" t="s">
        <v>234</v>
      </c>
      <c r="H14" s="126" t="s">
        <v>222</v>
      </c>
      <c r="I14" s="127" t="s">
        <v>250</v>
      </c>
      <c r="J14" s="126" t="s">
        <v>242</v>
      </c>
    </row>
    <row r="15" spans="1:15" ht="15.75" x14ac:dyDescent="0.25">
      <c r="A15" s="12" t="s">
        <v>251</v>
      </c>
      <c r="B15" s="12">
        <v>29.9</v>
      </c>
      <c r="C15" s="12">
        <v>82.25</v>
      </c>
      <c r="F15" s="113" t="s">
        <v>209</v>
      </c>
      <c r="G15" s="114">
        <v>25</v>
      </c>
      <c r="H15" s="114">
        <v>82.25</v>
      </c>
      <c r="I15" s="117">
        <f>H15-G15</f>
        <v>57.25</v>
      </c>
      <c r="J15" s="116">
        <f>H15/G15</f>
        <v>3.29</v>
      </c>
      <c r="L15" s="83" t="s">
        <v>208</v>
      </c>
      <c r="M15" s="14" t="s">
        <v>31</v>
      </c>
      <c r="N15" s="12" t="s">
        <v>252</v>
      </c>
      <c r="O15" s="12" t="s">
        <v>253</v>
      </c>
    </row>
    <row r="16" spans="1:15" ht="15.75" x14ac:dyDescent="0.25">
      <c r="A16" s="12" t="s">
        <v>254</v>
      </c>
      <c r="B16" s="12">
        <v>25</v>
      </c>
      <c r="C16" s="12">
        <v>82.25</v>
      </c>
      <c r="F16" s="113" t="s">
        <v>31</v>
      </c>
      <c r="G16" s="114">
        <v>30.3</v>
      </c>
      <c r="H16" s="114">
        <v>82.25</v>
      </c>
      <c r="I16" s="117">
        <f>H16-G16</f>
        <v>51.95</v>
      </c>
      <c r="J16" s="116">
        <f>H16/G16</f>
        <v>2.7145214521452146</v>
      </c>
      <c r="L16" s="12" t="s">
        <v>213</v>
      </c>
      <c r="M16" s="12">
        <v>46</v>
      </c>
      <c r="N16" s="12">
        <v>40.56</v>
      </c>
      <c r="O16" s="12">
        <f>M16*0.4*N16</f>
        <v>746.30400000000009</v>
      </c>
    </row>
    <row r="17" spans="1:15" ht="15.75" x14ac:dyDescent="0.25">
      <c r="A17" s="12" t="s">
        <v>255</v>
      </c>
      <c r="B17" s="12">
        <v>36</v>
      </c>
      <c r="C17" s="12">
        <v>82.25</v>
      </c>
      <c r="F17" s="113" t="s">
        <v>210</v>
      </c>
      <c r="G17" s="114">
        <v>36</v>
      </c>
      <c r="H17" s="114">
        <v>82.25</v>
      </c>
      <c r="I17" s="117">
        <f>H17-G17</f>
        <v>46.25</v>
      </c>
      <c r="J17" s="116">
        <f>H17/G17</f>
        <v>2.2847222222222223</v>
      </c>
      <c r="L17" s="12" t="s">
        <v>216</v>
      </c>
      <c r="M17" s="12">
        <v>54</v>
      </c>
      <c r="N17" s="12">
        <v>29.5</v>
      </c>
      <c r="O17" s="12">
        <f>M17*0.4*N17</f>
        <v>637.20000000000005</v>
      </c>
    </row>
    <row r="18" spans="1:15" ht="15.75" x14ac:dyDescent="0.25">
      <c r="A18" s="14" t="s">
        <v>209</v>
      </c>
      <c r="B18" s="14">
        <f>MIN(B15:B17)</f>
        <v>25</v>
      </c>
      <c r="C18" s="14">
        <f>MIN(C15:C17)</f>
        <v>82.25</v>
      </c>
      <c r="F18" s="126" t="s">
        <v>256</v>
      </c>
      <c r="G18" s="128" t="s">
        <v>234</v>
      </c>
      <c r="H18" s="128" t="s">
        <v>222</v>
      </c>
      <c r="I18" s="127" t="s">
        <v>250</v>
      </c>
      <c r="J18" s="126" t="s">
        <v>242</v>
      </c>
      <c r="L18" s="12" t="s">
        <v>218</v>
      </c>
      <c r="M18" s="12">
        <v>18</v>
      </c>
      <c r="N18" s="12">
        <v>36.42</v>
      </c>
      <c r="O18" s="12">
        <f>M18*0.2*N18</f>
        <v>131.11200000000002</v>
      </c>
    </row>
    <row r="19" spans="1:15" ht="15.75" x14ac:dyDescent="0.25">
      <c r="A19" s="14" t="s">
        <v>31</v>
      </c>
      <c r="B19" s="14">
        <f>AVERAGE(B15:B17)</f>
        <v>30.3</v>
      </c>
      <c r="C19" s="14">
        <f>AVERAGE(C15:C17)</f>
        <v>82.25</v>
      </c>
      <c r="F19" s="113" t="s">
        <v>209</v>
      </c>
      <c r="G19" s="114">
        <v>29.9</v>
      </c>
      <c r="H19" s="114">
        <v>85.56</v>
      </c>
      <c r="I19" s="117">
        <f>H19-G19</f>
        <v>55.660000000000004</v>
      </c>
      <c r="J19" s="116">
        <f>H19/G19</f>
        <v>2.8615384615384616</v>
      </c>
      <c r="M19">
        <f>M16*0.4+M17*0.4+M18*0.4</f>
        <v>47.2</v>
      </c>
    </row>
    <row r="20" spans="1:15" ht="15.75" x14ac:dyDescent="0.25">
      <c r="A20" s="14" t="s">
        <v>210</v>
      </c>
      <c r="B20" s="14">
        <f>MAX(B15:B17)</f>
        <v>36</v>
      </c>
      <c r="C20" s="14">
        <f>MAX(C15:C17)</f>
        <v>82.25</v>
      </c>
      <c r="F20" s="113" t="s">
        <v>31</v>
      </c>
      <c r="G20" s="114">
        <v>37.125</v>
      </c>
      <c r="H20" s="114">
        <v>100.3475</v>
      </c>
      <c r="I20" s="117">
        <f>H20-G20</f>
        <v>63.222499999999997</v>
      </c>
      <c r="J20" s="116">
        <f>H20/G20</f>
        <v>2.702962962962963</v>
      </c>
    </row>
    <row r="21" spans="1:15" ht="15.75" x14ac:dyDescent="0.25">
      <c r="A21" s="3"/>
      <c r="B21" s="3"/>
      <c r="C21" s="3"/>
      <c r="F21" s="113" t="s">
        <v>210</v>
      </c>
      <c r="G21" s="114">
        <v>48</v>
      </c>
      <c r="H21" s="114">
        <v>116.33</v>
      </c>
      <c r="I21" s="117">
        <f>H21-G21</f>
        <v>68.33</v>
      </c>
      <c r="J21" s="116">
        <f>H21/G21</f>
        <v>2.4235416666666665</v>
      </c>
      <c r="L21" s="83" t="s">
        <v>257</v>
      </c>
      <c r="M21" s="14" t="s">
        <v>31</v>
      </c>
      <c r="N21" s="12" t="s">
        <v>252</v>
      </c>
      <c r="O21" s="12" t="s">
        <v>253</v>
      </c>
    </row>
    <row r="22" spans="1:15" ht="15.75" x14ac:dyDescent="0.25">
      <c r="A22" s="12" t="s">
        <v>258</v>
      </c>
      <c r="B22" s="12"/>
      <c r="C22" s="12">
        <v>99.83</v>
      </c>
      <c r="F22" s="126" t="s">
        <v>259</v>
      </c>
      <c r="G22" s="128" t="s">
        <v>234</v>
      </c>
      <c r="H22" s="128" t="s">
        <v>222</v>
      </c>
      <c r="I22" s="127" t="s">
        <v>250</v>
      </c>
      <c r="J22" s="126" t="s">
        <v>242</v>
      </c>
      <c r="L22" s="12" t="s">
        <v>213</v>
      </c>
      <c r="M22" s="12">
        <v>27</v>
      </c>
      <c r="N22" s="12">
        <v>48.87</v>
      </c>
      <c r="O22" s="12">
        <f>M22*0.4*N22</f>
        <v>527.79600000000005</v>
      </c>
    </row>
    <row r="23" spans="1:15" ht="15.75" x14ac:dyDescent="0.25">
      <c r="A23" s="12" t="s">
        <v>260</v>
      </c>
      <c r="B23" s="12">
        <v>29.9</v>
      </c>
      <c r="C23" s="12">
        <v>99.67</v>
      </c>
      <c r="F23" s="113" t="s">
        <v>209</v>
      </c>
      <c r="G23" s="114">
        <v>36.9</v>
      </c>
      <c r="H23" s="114">
        <v>69</v>
      </c>
      <c r="I23" s="117">
        <f>H23-G23</f>
        <v>32.1</v>
      </c>
      <c r="J23" s="116">
        <f>H23/G23</f>
        <v>1.8699186991869921</v>
      </c>
      <c r="L23" s="12" t="s">
        <v>216</v>
      </c>
      <c r="M23" s="12">
        <v>28.5</v>
      </c>
      <c r="N23" s="12">
        <v>52.76</v>
      </c>
      <c r="O23" s="12">
        <f>M23*0.4*N23</f>
        <v>601.46399999999994</v>
      </c>
    </row>
    <row r="24" spans="1:15" ht="15.75" x14ac:dyDescent="0.25">
      <c r="A24" s="12" t="s">
        <v>261</v>
      </c>
      <c r="B24" s="12">
        <v>30.7</v>
      </c>
      <c r="C24" s="12">
        <v>85.56</v>
      </c>
      <c r="F24" s="113" t="s">
        <v>31</v>
      </c>
      <c r="G24" s="114">
        <v>44.379999999999995</v>
      </c>
      <c r="H24" s="114">
        <v>84.335000000000008</v>
      </c>
      <c r="I24" s="117">
        <f>H24-G24</f>
        <v>39.955000000000013</v>
      </c>
      <c r="J24" s="116">
        <f>H24/G24</f>
        <v>1.9002929247408746</v>
      </c>
      <c r="L24" s="12" t="s">
        <v>218</v>
      </c>
      <c r="M24" s="12">
        <v>12.6</v>
      </c>
      <c r="N24" s="12">
        <v>79.209999999999994</v>
      </c>
      <c r="O24" s="12">
        <f>M24*0.2*N24</f>
        <v>199.60919999999999</v>
      </c>
    </row>
    <row r="25" spans="1:15" ht="15.75" x14ac:dyDescent="0.25">
      <c r="A25" s="12" t="s">
        <v>258</v>
      </c>
      <c r="B25" s="12">
        <v>48</v>
      </c>
      <c r="C25" s="12">
        <v>116.33</v>
      </c>
      <c r="F25" s="113" t="s">
        <v>210</v>
      </c>
      <c r="G25" s="114">
        <v>51.24</v>
      </c>
      <c r="H25" s="114">
        <v>99.67</v>
      </c>
      <c r="I25" s="117">
        <f>H25-G25</f>
        <v>48.43</v>
      </c>
      <c r="J25" s="116">
        <f>H25/G25</f>
        <v>1.945160031225605</v>
      </c>
    </row>
    <row r="26" spans="1:15" ht="15.75" x14ac:dyDescent="0.25">
      <c r="A26" s="12" t="s">
        <v>262</v>
      </c>
      <c r="B26" s="12">
        <v>39.9</v>
      </c>
      <c r="C26" s="12"/>
      <c r="F26" s="126" t="s">
        <v>263</v>
      </c>
      <c r="G26" s="128" t="s">
        <v>234</v>
      </c>
      <c r="H26" s="128" t="s">
        <v>222</v>
      </c>
      <c r="I26" s="127" t="s">
        <v>250</v>
      </c>
      <c r="J26" s="126" t="s">
        <v>242</v>
      </c>
    </row>
    <row r="27" spans="1:15" ht="15.75" x14ac:dyDescent="0.25">
      <c r="A27" s="14" t="s">
        <v>209</v>
      </c>
      <c r="B27" s="14">
        <f>MIN(B22:B26)</f>
        <v>29.9</v>
      </c>
      <c r="C27" s="14">
        <f>MIN(C22:C26)</f>
        <v>85.56</v>
      </c>
      <c r="F27" s="113" t="s">
        <v>209</v>
      </c>
      <c r="G27" s="114">
        <v>122.19</v>
      </c>
      <c r="H27" s="114">
        <v>497.5</v>
      </c>
      <c r="I27" s="117">
        <f>H27-G27</f>
        <v>375.31</v>
      </c>
      <c r="J27" s="116">
        <f>H27/G27</f>
        <v>4.0715279482772733</v>
      </c>
    </row>
    <row r="28" spans="1:15" ht="15.75" x14ac:dyDescent="0.25">
      <c r="A28" s="14" t="s">
        <v>31</v>
      </c>
      <c r="B28" s="14">
        <f>AVERAGE(B22:B26)</f>
        <v>37.125</v>
      </c>
      <c r="C28" s="14">
        <f>AVERAGE(C22:C26)</f>
        <v>100.3475</v>
      </c>
      <c r="F28" s="113" t="s">
        <v>31</v>
      </c>
      <c r="G28" s="114">
        <v>227.095</v>
      </c>
      <c r="H28" s="114">
        <v>542.67000000000007</v>
      </c>
      <c r="I28" s="117">
        <f>H28-G28</f>
        <v>315.57500000000005</v>
      </c>
      <c r="J28" s="116">
        <f>H28/G28</f>
        <v>2.3896166802439511</v>
      </c>
    </row>
    <row r="29" spans="1:15" ht="15.75" x14ac:dyDescent="0.25">
      <c r="A29" s="14" t="s">
        <v>210</v>
      </c>
      <c r="B29" s="14">
        <f>MAX(B22:B26)</f>
        <v>48</v>
      </c>
      <c r="C29" s="14">
        <f>MAX(C22:C26)</f>
        <v>116.33</v>
      </c>
      <c r="F29" s="113" t="s">
        <v>210</v>
      </c>
      <c r="G29" s="114">
        <v>332</v>
      </c>
      <c r="H29" s="114">
        <v>587.84</v>
      </c>
      <c r="I29" s="117">
        <f>H29-G29</f>
        <v>255.84000000000003</v>
      </c>
      <c r="J29" s="116">
        <f>H29/G29</f>
        <v>1.7706024096385544</v>
      </c>
    </row>
    <row r="30" spans="1:15" ht="15.75" x14ac:dyDescent="0.25">
      <c r="A30" s="3"/>
      <c r="B30" s="3"/>
      <c r="C30" s="3"/>
      <c r="F30" s="126" t="s">
        <v>264</v>
      </c>
      <c r="G30" s="126" t="s">
        <v>234</v>
      </c>
      <c r="H30" s="126" t="s">
        <v>222</v>
      </c>
      <c r="I30" s="127" t="s">
        <v>250</v>
      </c>
      <c r="J30" s="126" t="s">
        <v>242</v>
      </c>
    </row>
    <row r="31" spans="1:15" ht="15.75" x14ac:dyDescent="0.25">
      <c r="A31" s="12" t="s">
        <v>265</v>
      </c>
      <c r="B31" s="12">
        <v>36.9</v>
      </c>
      <c r="C31" s="12">
        <v>99.67</v>
      </c>
      <c r="F31" s="113" t="s">
        <v>209</v>
      </c>
      <c r="G31" s="118">
        <v>74.75</v>
      </c>
      <c r="H31" s="118">
        <v>166.39</v>
      </c>
      <c r="I31" s="117">
        <f>H31-G31</f>
        <v>91.639999999999986</v>
      </c>
      <c r="J31" s="116">
        <f>H31/G31</f>
        <v>2.2259531772575247</v>
      </c>
      <c r="L31">
        <f>10*50.37</f>
        <v>503.7</v>
      </c>
      <c r="M31">
        <f>5*50.37</f>
        <v>251.85</v>
      </c>
    </row>
    <row r="32" spans="1:15" ht="15.75" x14ac:dyDescent="0.25">
      <c r="A32" s="12" t="s">
        <v>266</v>
      </c>
      <c r="B32" s="12"/>
      <c r="C32" s="12">
        <v>69</v>
      </c>
      <c r="F32" s="113" t="s">
        <v>31</v>
      </c>
      <c r="G32" s="118">
        <v>102.91666666666667</v>
      </c>
      <c r="H32" s="118">
        <v>174.28666666666666</v>
      </c>
      <c r="I32" s="117">
        <f>H32-G32</f>
        <v>71.36999999999999</v>
      </c>
      <c r="J32" s="116">
        <f>H32/G32</f>
        <v>1.6934736842105262</v>
      </c>
      <c r="L32">
        <f>10*30.75</f>
        <v>307.5</v>
      </c>
      <c r="M32">
        <f>5*30.75</f>
        <v>153.75</v>
      </c>
    </row>
    <row r="33" spans="1:12" ht="15.75" x14ac:dyDescent="0.25">
      <c r="A33" s="12" t="s">
        <v>267</v>
      </c>
      <c r="B33" s="12">
        <v>51.24</v>
      </c>
      <c r="C33" s="12"/>
      <c r="F33" s="113" t="s">
        <v>210</v>
      </c>
      <c r="G33" s="118">
        <v>119.5</v>
      </c>
      <c r="H33" s="118">
        <v>180.59</v>
      </c>
      <c r="I33" s="117">
        <f>H33-G33</f>
        <v>61.09</v>
      </c>
      <c r="J33" s="116">
        <f>H33/G33</f>
        <v>1.5112133891213388</v>
      </c>
      <c r="L33">
        <f>40.56*10</f>
        <v>405.6</v>
      </c>
    </row>
    <row r="34" spans="1:12" ht="15.75" x14ac:dyDescent="0.25">
      <c r="A34" s="12" t="s">
        <v>268</v>
      </c>
      <c r="B34" s="12">
        <v>45</v>
      </c>
      <c r="C34" s="12"/>
      <c r="F34" s="126" t="s">
        <v>269</v>
      </c>
      <c r="G34" s="126" t="s">
        <v>234</v>
      </c>
      <c r="H34" s="126" t="s">
        <v>222</v>
      </c>
      <c r="I34" s="127" t="s">
        <v>250</v>
      </c>
      <c r="J34" s="126" t="s">
        <v>242</v>
      </c>
    </row>
    <row r="35" spans="1:12" ht="15.75" x14ac:dyDescent="0.25">
      <c r="A35" s="14" t="s">
        <v>209</v>
      </c>
      <c r="B35" s="14">
        <f>MIN(B31:B34)</f>
        <v>36.9</v>
      </c>
      <c r="C35" s="14">
        <f>MIN(C31:C34)</f>
        <v>69</v>
      </c>
      <c r="F35" s="113" t="s">
        <v>209</v>
      </c>
      <c r="G35" s="114">
        <v>49.75</v>
      </c>
      <c r="H35" s="114">
        <v>79.599999999999994</v>
      </c>
      <c r="I35" s="117">
        <f>H35-G35</f>
        <v>29.849999999999994</v>
      </c>
      <c r="J35" s="116">
        <f>H35/G35</f>
        <v>1.5999999999999999</v>
      </c>
    </row>
    <row r="36" spans="1:12" ht="15.75" x14ac:dyDescent="0.25">
      <c r="A36" s="14" t="s">
        <v>31</v>
      </c>
      <c r="B36" s="14">
        <f>AVERAGE(B31:B34)</f>
        <v>44.379999999999995</v>
      </c>
      <c r="C36" s="14">
        <f>AVERAGE(C31:C34)</f>
        <v>84.335000000000008</v>
      </c>
      <c r="F36" s="113" t="s">
        <v>31</v>
      </c>
      <c r="G36" s="114">
        <v>50.366666666666667</v>
      </c>
      <c r="H36" s="114">
        <v>89.96</v>
      </c>
      <c r="I36" s="117">
        <f>H36-G36</f>
        <v>39.593333333333327</v>
      </c>
      <c r="J36" s="116">
        <f>H36/G36</f>
        <v>1.7861019192587688</v>
      </c>
    </row>
    <row r="37" spans="1:12" ht="15.75" x14ac:dyDescent="0.25">
      <c r="A37" s="14" t="s">
        <v>210</v>
      </c>
      <c r="B37" s="14">
        <f>MAX(B31:B34)</f>
        <v>51.24</v>
      </c>
      <c r="C37" s="14">
        <f>MAX(C31:C34)</f>
        <v>99.67</v>
      </c>
      <c r="F37" s="113" t="s">
        <v>210</v>
      </c>
      <c r="G37" s="114">
        <v>51.6</v>
      </c>
      <c r="H37" s="114">
        <v>110.48</v>
      </c>
      <c r="I37" s="117">
        <f>H37-G37</f>
        <v>58.88</v>
      </c>
      <c r="J37" s="116">
        <f>H37/G37</f>
        <v>2.1410852713178294</v>
      </c>
    </row>
    <row r="38" spans="1:12" ht="15.75" x14ac:dyDescent="0.25">
      <c r="F38" s="126" t="s">
        <v>270</v>
      </c>
      <c r="G38" s="126" t="s">
        <v>234</v>
      </c>
      <c r="H38" s="126" t="s">
        <v>222</v>
      </c>
      <c r="I38" s="127" t="s">
        <v>250</v>
      </c>
      <c r="J38" s="126" t="s">
        <v>242</v>
      </c>
    </row>
    <row r="39" spans="1:12" ht="15.75" x14ac:dyDescent="0.25">
      <c r="A39" s="12" t="s">
        <v>271</v>
      </c>
      <c r="B39" s="12"/>
      <c r="C39" s="12"/>
      <c r="F39" s="113" t="s">
        <v>209</v>
      </c>
      <c r="G39" s="114">
        <v>13.9</v>
      </c>
      <c r="H39" s="114">
        <v>31.9</v>
      </c>
      <c r="I39" s="117">
        <f>H39-G39</f>
        <v>18</v>
      </c>
      <c r="J39" s="116">
        <f>H39/G39</f>
        <v>2.2949640287769784</v>
      </c>
    </row>
    <row r="40" spans="1:12" ht="15.75" x14ac:dyDescent="0.25">
      <c r="A40" s="12" t="s">
        <v>272</v>
      </c>
      <c r="B40" s="12">
        <v>332</v>
      </c>
      <c r="C40" s="12">
        <v>497.5</v>
      </c>
      <c r="F40" s="113" t="s">
        <v>31</v>
      </c>
      <c r="G40" s="114">
        <v>30.75</v>
      </c>
      <c r="H40" s="114">
        <v>47.900000000000006</v>
      </c>
      <c r="I40" s="117">
        <f>H40-G40</f>
        <v>17.150000000000006</v>
      </c>
      <c r="J40" s="116">
        <f>H40/G40</f>
        <v>1.5577235772357725</v>
      </c>
    </row>
    <row r="41" spans="1:12" ht="15.75" x14ac:dyDescent="0.25">
      <c r="A41" s="12" t="s">
        <v>273</v>
      </c>
      <c r="B41" s="12">
        <v>122.19</v>
      </c>
      <c r="C41" s="12">
        <v>587.84</v>
      </c>
      <c r="F41" s="113" t="s">
        <v>210</v>
      </c>
      <c r="G41" s="114">
        <v>49</v>
      </c>
      <c r="H41" s="114">
        <v>79.900000000000006</v>
      </c>
      <c r="I41" s="117">
        <f>H41-G41</f>
        <v>30.900000000000006</v>
      </c>
      <c r="J41" s="116">
        <f>H41/G41</f>
        <v>1.6306122448979592</v>
      </c>
    </row>
    <row r="42" spans="1:12" ht="15.75" x14ac:dyDescent="0.25">
      <c r="A42" s="14" t="s">
        <v>209</v>
      </c>
      <c r="B42" s="14">
        <f>MIN(B39:B41)</f>
        <v>122.19</v>
      </c>
      <c r="C42" s="14">
        <f>MIN(C39:C41)</f>
        <v>497.5</v>
      </c>
      <c r="F42" s="126" t="s">
        <v>216</v>
      </c>
      <c r="G42" s="126" t="s">
        <v>234</v>
      </c>
      <c r="H42" s="126" t="s">
        <v>222</v>
      </c>
      <c r="I42" s="127" t="s">
        <v>250</v>
      </c>
      <c r="J42" s="126" t="s">
        <v>242</v>
      </c>
    </row>
    <row r="43" spans="1:12" ht="15.75" x14ac:dyDescent="0.25">
      <c r="A43" s="14" t="s">
        <v>31</v>
      </c>
      <c r="B43" s="14">
        <f>AVERAGE(B39:B41)</f>
        <v>227.095</v>
      </c>
      <c r="C43" s="14">
        <f>AVERAGE(C39:C41)</f>
        <v>542.67000000000007</v>
      </c>
      <c r="F43" s="113" t="s">
        <v>209</v>
      </c>
      <c r="G43" s="114">
        <v>16.510000000000002</v>
      </c>
      <c r="H43" s="114">
        <v>39.9</v>
      </c>
      <c r="I43" s="117">
        <f>H43-G43</f>
        <v>23.389999999999997</v>
      </c>
      <c r="J43" s="116">
        <f>H43/G43</f>
        <v>2.4167171411265898</v>
      </c>
    </row>
    <row r="44" spans="1:12" ht="15.75" x14ac:dyDescent="0.25">
      <c r="A44" s="14" t="s">
        <v>210</v>
      </c>
      <c r="B44" s="14">
        <f>MAX(B39:B41)</f>
        <v>332</v>
      </c>
      <c r="C44" s="14">
        <f>MAX(C39:C41)</f>
        <v>587.84</v>
      </c>
      <c r="F44" s="113" t="s">
        <v>31</v>
      </c>
      <c r="G44" s="114">
        <v>29.498333333333335</v>
      </c>
      <c r="H44" s="114">
        <v>52.760000000000005</v>
      </c>
      <c r="I44" s="117">
        <f>H44-G44</f>
        <v>23.26166666666667</v>
      </c>
      <c r="J44" s="116">
        <f>H44/G44</f>
        <v>1.7885756257415675</v>
      </c>
    </row>
    <row r="45" spans="1:12" ht="15.75" x14ac:dyDescent="0.25">
      <c r="F45" s="113" t="s">
        <v>210</v>
      </c>
      <c r="G45" s="114">
        <v>40</v>
      </c>
      <c r="H45" s="114">
        <v>70</v>
      </c>
      <c r="I45" s="117">
        <f>H45-G45</f>
        <v>30</v>
      </c>
      <c r="J45" s="116">
        <f>H45/G45</f>
        <v>1.75</v>
      </c>
    </row>
    <row r="46" spans="1:12" x14ac:dyDescent="0.25">
      <c r="A46" s="12" t="s">
        <v>274</v>
      </c>
      <c r="B46" s="12">
        <v>74.75</v>
      </c>
      <c r="C46" s="12">
        <v>166.39</v>
      </c>
      <c r="I46" s="15"/>
    </row>
    <row r="47" spans="1:12" x14ac:dyDescent="0.25">
      <c r="A47" s="12" t="s">
        <v>275</v>
      </c>
      <c r="B47" s="12">
        <v>114.5</v>
      </c>
      <c r="C47" s="12">
        <v>175.88</v>
      </c>
      <c r="I47" s="15"/>
    </row>
    <row r="48" spans="1:12" x14ac:dyDescent="0.25">
      <c r="A48" s="12" t="s">
        <v>276</v>
      </c>
      <c r="B48" s="12">
        <v>119.5</v>
      </c>
      <c r="C48" s="12">
        <v>180.59</v>
      </c>
      <c r="F48" s="83" t="s">
        <v>277</v>
      </c>
      <c r="G48" s="83" t="s">
        <v>234</v>
      </c>
      <c r="H48" s="83" t="s">
        <v>222</v>
      </c>
      <c r="I48" s="110" t="s">
        <v>250</v>
      </c>
    </row>
    <row r="49" spans="1:9" x14ac:dyDescent="0.25">
      <c r="A49" s="14" t="s">
        <v>209</v>
      </c>
      <c r="B49" s="14">
        <f>MIN(B46:B48)</f>
        <v>74.75</v>
      </c>
      <c r="C49" s="14">
        <f>MIN(C46:C48)</f>
        <v>166.39</v>
      </c>
      <c r="F49" s="14" t="s">
        <v>209</v>
      </c>
      <c r="G49" s="119">
        <v>99.5</v>
      </c>
      <c r="H49" s="119">
        <v>100</v>
      </c>
      <c r="I49" s="120">
        <f>H49-G49</f>
        <v>0.5</v>
      </c>
    </row>
    <row r="50" spans="1:9" x14ac:dyDescent="0.25">
      <c r="A50" s="14" t="s">
        <v>31</v>
      </c>
      <c r="B50" s="14">
        <f>AVERAGE(B46:B48)</f>
        <v>102.91666666666667</v>
      </c>
      <c r="C50" s="14">
        <f>AVERAGE(C46:C48)</f>
        <v>174.28666666666666</v>
      </c>
      <c r="F50" s="14" t="s">
        <v>31</v>
      </c>
      <c r="G50" s="119">
        <v>138.298</v>
      </c>
      <c r="H50" s="119">
        <v>329.35</v>
      </c>
      <c r="I50" s="120">
        <f>H50-G50</f>
        <v>191.05200000000002</v>
      </c>
    </row>
    <row r="51" spans="1:9" x14ac:dyDescent="0.25">
      <c r="A51" s="14" t="s">
        <v>210</v>
      </c>
      <c r="B51" s="14">
        <f>MAX(B46:B48)</f>
        <v>119.5</v>
      </c>
      <c r="C51" s="14">
        <f>MAX(C46:C48)</f>
        <v>180.59</v>
      </c>
      <c r="F51" s="14" t="s">
        <v>210</v>
      </c>
      <c r="G51" s="119">
        <v>200</v>
      </c>
      <c r="H51" s="119">
        <v>461.15</v>
      </c>
      <c r="I51" s="120">
        <f>H51-G51</f>
        <v>261.14999999999998</v>
      </c>
    </row>
    <row r="52" spans="1:9" x14ac:dyDescent="0.25">
      <c r="I52" s="15"/>
    </row>
    <row r="53" spans="1:9" x14ac:dyDescent="0.25">
      <c r="E53" s="2"/>
      <c r="I53" s="15"/>
    </row>
    <row r="54" spans="1:9" x14ac:dyDescent="0.25">
      <c r="A54" s="121" t="s">
        <v>214</v>
      </c>
      <c r="B54" s="121" t="s">
        <v>234</v>
      </c>
      <c r="C54" s="121" t="s">
        <v>222</v>
      </c>
      <c r="I54" s="15"/>
    </row>
    <row r="55" spans="1:9" x14ac:dyDescent="0.25">
      <c r="A55" s="12" t="s">
        <v>278</v>
      </c>
      <c r="B55" s="12">
        <v>51.6</v>
      </c>
      <c r="C55" s="12">
        <v>79.599999999999994</v>
      </c>
      <c r="I55" s="15"/>
    </row>
    <row r="56" spans="1:9" x14ac:dyDescent="0.25">
      <c r="A56" s="12" t="s">
        <v>279</v>
      </c>
      <c r="B56" s="12">
        <v>49.75</v>
      </c>
      <c r="C56" s="12">
        <v>110.48</v>
      </c>
      <c r="I56" s="15"/>
    </row>
    <row r="57" spans="1:9" x14ac:dyDescent="0.25">
      <c r="A57" s="12" t="s">
        <v>280</v>
      </c>
      <c r="B57" s="12">
        <v>49.75</v>
      </c>
      <c r="C57" s="12">
        <v>79.8</v>
      </c>
      <c r="I57" s="15"/>
    </row>
    <row r="58" spans="1:9" x14ac:dyDescent="0.25">
      <c r="A58" s="14" t="s">
        <v>209</v>
      </c>
      <c r="B58" s="14">
        <f>MIN(B55:B57)</f>
        <v>49.75</v>
      </c>
      <c r="C58" s="14">
        <f>MIN(C55:C57)</f>
        <v>79.599999999999994</v>
      </c>
      <c r="I58" s="15"/>
    </row>
    <row r="59" spans="1:9" x14ac:dyDescent="0.25">
      <c r="A59" s="14" t="s">
        <v>31</v>
      </c>
      <c r="B59" s="14">
        <f>AVERAGE(B55:B57)</f>
        <v>50.366666666666667</v>
      </c>
      <c r="C59" s="14">
        <f>AVERAGE(C55:C57)</f>
        <v>89.96</v>
      </c>
      <c r="I59" s="15"/>
    </row>
    <row r="60" spans="1:9" x14ac:dyDescent="0.25">
      <c r="A60" s="14" t="s">
        <v>210</v>
      </c>
      <c r="B60" s="14">
        <f>MAX(B55:B57)</f>
        <v>51.6</v>
      </c>
      <c r="C60" s="14">
        <f>MAX(C55:C57)</f>
        <v>110.48</v>
      </c>
      <c r="I60" s="15"/>
    </row>
    <row r="61" spans="1:9" x14ac:dyDescent="0.25">
      <c r="I61" s="15"/>
    </row>
    <row r="62" spans="1:9" x14ac:dyDescent="0.25">
      <c r="A62" s="12" t="s">
        <v>281</v>
      </c>
      <c r="B62" s="12">
        <v>59.6</v>
      </c>
      <c r="C62" s="12"/>
      <c r="I62" s="15"/>
    </row>
    <row r="63" spans="1:9" x14ac:dyDescent="0.25">
      <c r="A63" s="12" t="s">
        <v>282</v>
      </c>
      <c r="B63" s="12">
        <v>40</v>
      </c>
      <c r="C63" s="12"/>
      <c r="I63" s="15"/>
    </row>
    <row r="64" spans="1:9" x14ac:dyDescent="0.25">
      <c r="A64" s="12" t="s">
        <v>283</v>
      </c>
      <c r="B64" s="12">
        <v>67.8</v>
      </c>
      <c r="C64" s="12"/>
      <c r="I64" s="15"/>
    </row>
    <row r="65" spans="1:9" x14ac:dyDescent="0.25">
      <c r="A65" s="12" t="s">
        <v>284</v>
      </c>
      <c r="B65" s="12">
        <v>59.75</v>
      </c>
      <c r="C65" s="12"/>
      <c r="I65" s="15"/>
    </row>
    <row r="66" spans="1:9" x14ac:dyDescent="0.25">
      <c r="A66" s="14" t="s">
        <v>209</v>
      </c>
      <c r="B66" s="14">
        <f>MIN(B63:B65)</f>
        <v>40</v>
      </c>
      <c r="C66" s="14">
        <f>MIN(C63:C65)</f>
        <v>0</v>
      </c>
      <c r="I66" s="15"/>
    </row>
    <row r="67" spans="1:9" x14ac:dyDescent="0.25">
      <c r="A67" s="14" t="s">
        <v>31</v>
      </c>
      <c r="B67" s="14">
        <f>AVERAGE(B63:B65)</f>
        <v>55.85</v>
      </c>
      <c r="C67" s="14" t="e">
        <f>AVERAGE(C63:C65)</f>
        <v>#DIV/0!</v>
      </c>
      <c r="I67" s="15"/>
    </row>
    <row r="68" spans="1:9" x14ac:dyDescent="0.25">
      <c r="A68" s="14" t="s">
        <v>210</v>
      </c>
      <c r="B68" s="14">
        <f>MAX(B63:B65)</f>
        <v>67.8</v>
      </c>
      <c r="C68" s="14">
        <f>MAX(C63:C65)</f>
        <v>0</v>
      </c>
      <c r="I68" s="15"/>
    </row>
    <row r="69" spans="1:9" x14ac:dyDescent="0.25">
      <c r="I69" s="15"/>
    </row>
    <row r="70" spans="1:9" x14ac:dyDescent="0.25">
      <c r="A70" s="12" t="s">
        <v>285</v>
      </c>
      <c r="B70" s="12">
        <v>79.8</v>
      </c>
      <c r="C70" s="12"/>
      <c r="I70" s="15"/>
    </row>
    <row r="71" spans="1:9" x14ac:dyDescent="0.25">
      <c r="A71" s="12" t="s">
        <v>286</v>
      </c>
      <c r="B71" s="12">
        <v>99</v>
      </c>
      <c r="C71" s="12"/>
      <c r="I71" s="15"/>
    </row>
    <row r="72" spans="1:9" x14ac:dyDescent="0.25">
      <c r="A72" s="12" t="s">
        <v>287</v>
      </c>
      <c r="B72" s="12">
        <v>139.5</v>
      </c>
      <c r="C72" s="12"/>
      <c r="I72" s="15"/>
    </row>
    <row r="73" spans="1:9" x14ac:dyDescent="0.25">
      <c r="A73" s="14" t="s">
        <v>288</v>
      </c>
      <c r="B73" s="14">
        <v>140</v>
      </c>
      <c r="C73" s="14"/>
      <c r="I73" s="15"/>
    </row>
    <row r="74" spans="1:9" x14ac:dyDescent="0.25">
      <c r="A74" s="14" t="s">
        <v>289</v>
      </c>
      <c r="B74" s="14"/>
      <c r="C74" s="14">
        <v>149.5</v>
      </c>
      <c r="I74" s="15"/>
    </row>
    <row r="75" spans="1:9" x14ac:dyDescent="0.25">
      <c r="A75" s="14" t="s">
        <v>290</v>
      </c>
      <c r="B75" s="14"/>
      <c r="C75" s="14">
        <v>153.5</v>
      </c>
      <c r="I75" s="15"/>
    </row>
    <row r="76" spans="1:9" x14ac:dyDescent="0.25">
      <c r="I76" s="15"/>
    </row>
    <row r="77" spans="1:9" x14ac:dyDescent="0.25">
      <c r="I77" s="15"/>
    </row>
    <row r="78" spans="1:9" x14ac:dyDescent="0.25">
      <c r="I78" s="15"/>
    </row>
    <row r="79" spans="1:9" x14ac:dyDescent="0.25">
      <c r="A79" t="s">
        <v>291</v>
      </c>
      <c r="B79">
        <v>16.899999999999999</v>
      </c>
      <c r="I79" s="15"/>
    </row>
    <row r="80" spans="1:9" x14ac:dyDescent="0.25">
      <c r="A80" t="s">
        <v>292</v>
      </c>
      <c r="B80">
        <v>35</v>
      </c>
      <c r="I80" s="15"/>
    </row>
    <row r="81" spans="1:9" x14ac:dyDescent="0.25">
      <c r="A81" t="s">
        <v>293</v>
      </c>
      <c r="C81">
        <v>61.4</v>
      </c>
      <c r="I81" s="15"/>
    </row>
    <row r="82" spans="1:9" x14ac:dyDescent="0.25">
      <c r="I82" s="15"/>
    </row>
    <row r="83" spans="1:9" x14ac:dyDescent="0.25">
      <c r="I83" s="15"/>
    </row>
    <row r="84" spans="1:9" x14ac:dyDescent="0.25">
      <c r="A84" t="s">
        <v>294</v>
      </c>
      <c r="B84">
        <v>74.900000000000006</v>
      </c>
      <c r="I84" s="15"/>
    </row>
    <row r="85" spans="1:9" x14ac:dyDescent="0.25">
      <c r="A85" t="s">
        <v>295</v>
      </c>
      <c r="B85">
        <v>59.9</v>
      </c>
      <c r="I85" s="15"/>
    </row>
    <row r="86" spans="1:9" x14ac:dyDescent="0.25">
      <c r="I86" s="15"/>
    </row>
    <row r="87" spans="1:9" x14ac:dyDescent="0.25">
      <c r="I87" s="15"/>
    </row>
    <row r="88" spans="1:9" x14ac:dyDescent="0.25">
      <c r="I88" s="15"/>
    </row>
    <row r="89" spans="1:9" x14ac:dyDescent="0.25">
      <c r="I89" s="15"/>
    </row>
    <row r="90" spans="1:9" x14ac:dyDescent="0.25">
      <c r="A90" s="12" t="s">
        <v>296</v>
      </c>
      <c r="B90" s="12">
        <v>36.9</v>
      </c>
      <c r="C90" s="12">
        <v>31.9</v>
      </c>
      <c r="I90" s="15"/>
    </row>
    <row r="91" spans="1:9" x14ac:dyDescent="0.25">
      <c r="A91" s="12" t="s">
        <v>297</v>
      </c>
      <c r="B91" s="12">
        <v>13.9</v>
      </c>
      <c r="C91" s="12">
        <v>79.900000000000006</v>
      </c>
      <c r="I91" s="15"/>
    </row>
    <row r="92" spans="1:9" x14ac:dyDescent="0.25">
      <c r="A92" s="12" t="s">
        <v>298</v>
      </c>
      <c r="B92" s="12">
        <v>29.9</v>
      </c>
      <c r="C92" s="12"/>
      <c r="I92" s="15"/>
    </row>
    <row r="93" spans="1:9" x14ac:dyDescent="0.25">
      <c r="A93" s="12" t="s">
        <v>299</v>
      </c>
      <c r="B93" s="12">
        <v>29.9</v>
      </c>
      <c r="C93" s="12"/>
      <c r="I93" s="15"/>
    </row>
    <row r="94" spans="1:9" x14ac:dyDescent="0.25">
      <c r="A94" s="12" t="s">
        <v>300</v>
      </c>
      <c r="B94" s="12">
        <v>24.9</v>
      </c>
      <c r="C94" s="12">
        <v>31.9</v>
      </c>
      <c r="I94" s="15"/>
    </row>
    <row r="95" spans="1:9" x14ac:dyDescent="0.25">
      <c r="A95" s="12" t="s">
        <v>301</v>
      </c>
      <c r="B95" s="12">
        <v>49</v>
      </c>
      <c r="C95" s="12"/>
      <c r="I95" s="15"/>
    </row>
    <row r="96" spans="1:9" x14ac:dyDescent="0.25">
      <c r="A96" s="14" t="s">
        <v>209</v>
      </c>
      <c r="B96" s="14">
        <f>MIN(B90:B95)</f>
        <v>13.9</v>
      </c>
      <c r="C96" s="14">
        <f>MIN(C90:C95)</f>
        <v>31.9</v>
      </c>
      <c r="I96" s="15"/>
    </row>
    <row r="97" spans="1:9" x14ac:dyDescent="0.25">
      <c r="A97" s="14" t="s">
        <v>31</v>
      </c>
      <c r="B97" s="14">
        <f>AVERAGE(B90:B95)</f>
        <v>30.75</v>
      </c>
      <c r="C97" s="14">
        <f>AVERAGE(C90:C95)</f>
        <v>47.900000000000006</v>
      </c>
      <c r="I97" s="15"/>
    </row>
    <row r="98" spans="1:9" x14ac:dyDescent="0.25">
      <c r="A98" s="14" t="s">
        <v>210</v>
      </c>
      <c r="B98" s="14">
        <f>MAX(B90:B95)</f>
        <v>49</v>
      </c>
      <c r="C98" s="14">
        <f>MAX(C90:C95)</f>
        <v>79.900000000000006</v>
      </c>
      <c r="I98" s="15"/>
    </row>
    <row r="99" spans="1:9" x14ac:dyDescent="0.25">
      <c r="I99" s="15"/>
    </row>
    <row r="100" spans="1:9" x14ac:dyDescent="0.25">
      <c r="A100" t="s">
        <v>302</v>
      </c>
      <c r="B100">
        <v>59.8</v>
      </c>
      <c r="I100" s="15"/>
    </row>
    <row r="101" spans="1:9" x14ac:dyDescent="0.25">
      <c r="A101" t="s">
        <v>303</v>
      </c>
      <c r="C101">
        <v>59.6</v>
      </c>
      <c r="I101" s="15"/>
    </row>
    <row r="102" spans="1:9" x14ac:dyDescent="0.25">
      <c r="I102" s="15"/>
    </row>
    <row r="103" spans="1:9" x14ac:dyDescent="0.25">
      <c r="I103" s="15"/>
    </row>
    <row r="104" spans="1:9" x14ac:dyDescent="0.25">
      <c r="A104" t="s">
        <v>304</v>
      </c>
      <c r="B104">
        <v>40</v>
      </c>
      <c r="I104" s="15"/>
    </row>
    <row r="105" spans="1:9" x14ac:dyDescent="0.25">
      <c r="A105" t="s">
        <v>305</v>
      </c>
      <c r="B105">
        <v>50.89</v>
      </c>
      <c r="I105" s="15"/>
    </row>
    <row r="106" spans="1:9" x14ac:dyDescent="0.25">
      <c r="I106" s="15"/>
    </row>
    <row r="107" spans="1:9" x14ac:dyDescent="0.25">
      <c r="A107" t="s">
        <v>306</v>
      </c>
      <c r="B107">
        <v>25.9</v>
      </c>
      <c r="I107" s="15"/>
    </row>
    <row r="108" spans="1:9" x14ac:dyDescent="0.25">
      <c r="A108" t="s">
        <v>306</v>
      </c>
      <c r="B108">
        <v>25.9</v>
      </c>
      <c r="I108" s="15"/>
    </row>
    <row r="109" spans="1:9" x14ac:dyDescent="0.25">
      <c r="A109" t="s">
        <v>307</v>
      </c>
      <c r="B109">
        <v>37.799999999999997</v>
      </c>
      <c r="I109" s="15"/>
    </row>
    <row r="110" spans="1:9" x14ac:dyDescent="0.25">
      <c r="A110" t="s">
        <v>308</v>
      </c>
      <c r="B110">
        <v>49.9</v>
      </c>
      <c r="I110" s="15"/>
    </row>
    <row r="111" spans="1:9" x14ac:dyDescent="0.25">
      <c r="A111" t="s">
        <v>309</v>
      </c>
      <c r="B111">
        <v>51.8</v>
      </c>
      <c r="I111" s="15"/>
    </row>
    <row r="112" spans="1:9" x14ac:dyDescent="0.25">
      <c r="I112" s="15"/>
    </row>
    <row r="113" spans="1:9" x14ac:dyDescent="0.25">
      <c r="A113" t="s">
        <v>310</v>
      </c>
      <c r="B113">
        <v>94.88</v>
      </c>
      <c r="I113" s="15"/>
    </row>
    <row r="114" spans="1:9" x14ac:dyDescent="0.25">
      <c r="A114" t="s">
        <v>311</v>
      </c>
      <c r="B114">
        <v>74.75</v>
      </c>
      <c r="I114" s="15"/>
    </row>
    <row r="115" spans="1:9" x14ac:dyDescent="0.25">
      <c r="I115" s="15"/>
    </row>
    <row r="116" spans="1:9" x14ac:dyDescent="0.25">
      <c r="A116" s="122" t="s">
        <v>209</v>
      </c>
      <c r="B116" s="122">
        <f>MIN(B55:B115)</f>
        <v>13.9</v>
      </c>
      <c r="C116" s="122" t="e">
        <f>MIN(C55:C115)</f>
        <v>#DIV/0!</v>
      </c>
      <c r="I116" s="15"/>
    </row>
    <row r="117" spans="1:9" x14ac:dyDescent="0.25">
      <c r="A117" s="3" t="s">
        <v>31</v>
      </c>
      <c r="B117" s="3">
        <f>AVERAGE(B55:B115)</f>
        <v>53.209666666666692</v>
      </c>
      <c r="C117" s="3" t="e">
        <f>AVERAGE(C55:C115)</f>
        <v>#DIV/0!</v>
      </c>
      <c r="I117" s="15"/>
    </row>
    <row r="118" spans="1:9" x14ac:dyDescent="0.25">
      <c r="A118" s="3" t="s">
        <v>210</v>
      </c>
      <c r="B118" s="3">
        <f>MAX(B55:B115)</f>
        <v>140</v>
      </c>
      <c r="C118" s="3" t="e">
        <f>MAX(C55:C115)</f>
        <v>#DIV/0!</v>
      </c>
      <c r="I118" s="15"/>
    </row>
    <row r="119" spans="1:9" x14ac:dyDescent="0.25">
      <c r="I119" s="15"/>
    </row>
    <row r="120" spans="1:9" x14ac:dyDescent="0.25">
      <c r="I120" s="15"/>
    </row>
    <row r="121" spans="1:9" x14ac:dyDescent="0.25">
      <c r="I121" s="15"/>
    </row>
    <row r="122" spans="1:9" x14ac:dyDescent="0.25">
      <c r="A122" s="121" t="s">
        <v>216</v>
      </c>
      <c r="B122" s="121" t="s">
        <v>234</v>
      </c>
      <c r="C122" s="121" t="s">
        <v>222</v>
      </c>
      <c r="I122" s="15"/>
    </row>
    <row r="123" spans="1:9" x14ac:dyDescent="0.25">
      <c r="A123" t="s">
        <v>312</v>
      </c>
      <c r="B123">
        <v>34.9</v>
      </c>
      <c r="C123">
        <v>39.9</v>
      </c>
      <c r="I123" s="15"/>
    </row>
    <row r="124" spans="1:9" x14ac:dyDescent="0.25">
      <c r="A124" t="s">
        <v>313</v>
      </c>
      <c r="B124">
        <v>40</v>
      </c>
      <c r="C124">
        <v>49.9</v>
      </c>
      <c r="I124" s="15"/>
    </row>
    <row r="125" spans="1:9" x14ac:dyDescent="0.25">
      <c r="A125" t="s">
        <v>314</v>
      </c>
      <c r="B125">
        <v>40</v>
      </c>
      <c r="C125">
        <v>70</v>
      </c>
      <c r="I125" s="15"/>
    </row>
    <row r="126" spans="1:9" x14ac:dyDescent="0.25">
      <c r="A126" t="s">
        <v>315</v>
      </c>
      <c r="B126">
        <v>24.9</v>
      </c>
      <c r="I126" s="15"/>
    </row>
    <row r="127" spans="1:9" x14ac:dyDescent="0.25">
      <c r="A127" t="s">
        <v>316</v>
      </c>
      <c r="B127">
        <v>16.510000000000002</v>
      </c>
      <c r="I127" s="15"/>
    </row>
    <row r="128" spans="1:9" x14ac:dyDescent="0.25">
      <c r="A128" t="s">
        <v>317</v>
      </c>
      <c r="C128">
        <v>51.24</v>
      </c>
      <c r="I128" s="15"/>
    </row>
    <row r="129" spans="1:9" x14ac:dyDescent="0.25">
      <c r="A129" t="s">
        <v>318</v>
      </c>
      <c r="B129">
        <v>20.68</v>
      </c>
      <c r="I129" s="15"/>
    </row>
    <row r="130" spans="1:9" x14ac:dyDescent="0.25">
      <c r="I130" s="15"/>
    </row>
    <row r="131" spans="1:9" x14ac:dyDescent="0.25">
      <c r="A131" s="122" t="s">
        <v>209</v>
      </c>
      <c r="B131" s="122">
        <f>MIN(B123:B130)</f>
        <v>16.510000000000002</v>
      </c>
      <c r="C131" s="122">
        <f>MIN(C123:C130)</f>
        <v>39.9</v>
      </c>
      <c r="I131" s="15"/>
    </row>
    <row r="132" spans="1:9" x14ac:dyDescent="0.25">
      <c r="A132" s="3" t="s">
        <v>31</v>
      </c>
      <c r="B132" s="3">
        <f>AVERAGE(B123:B130)</f>
        <v>29.498333333333335</v>
      </c>
      <c r="C132" s="3">
        <f>AVERAGE(C123:C130)</f>
        <v>52.760000000000005</v>
      </c>
      <c r="I132" s="15"/>
    </row>
    <row r="133" spans="1:9" x14ac:dyDescent="0.25">
      <c r="A133" s="3" t="s">
        <v>210</v>
      </c>
      <c r="B133" s="3">
        <f>MAX(B123:B130)</f>
        <v>40</v>
      </c>
      <c r="C133" s="3">
        <f>MAX(C123:C130)</f>
        <v>70</v>
      </c>
      <c r="I133" s="15"/>
    </row>
    <row r="134" spans="1:9" x14ac:dyDescent="0.25">
      <c r="I134" s="15"/>
    </row>
    <row r="135" spans="1:9" x14ac:dyDescent="0.25">
      <c r="I135" s="15"/>
    </row>
    <row r="136" spans="1:9" x14ac:dyDescent="0.25">
      <c r="A136" s="121" t="s">
        <v>319</v>
      </c>
      <c r="B136" s="121" t="s">
        <v>234</v>
      </c>
      <c r="C136" s="121" t="s">
        <v>222</v>
      </c>
      <c r="I136" s="15"/>
    </row>
    <row r="137" spans="1:9" x14ac:dyDescent="0.25">
      <c r="A137" t="s">
        <v>320</v>
      </c>
      <c r="B137">
        <v>24.9</v>
      </c>
      <c r="C137">
        <v>29.9</v>
      </c>
      <c r="I137" s="15"/>
    </row>
    <row r="138" spans="1:9" x14ac:dyDescent="0.25">
      <c r="A138" t="s">
        <v>321</v>
      </c>
      <c r="B138">
        <v>37.9</v>
      </c>
      <c r="C138">
        <v>37.9</v>
      </c>
      <c r="I138" s="15"/>
    </row>
    <row r="139" spans="1:9" x14ac:dyDescent="0.25">
      <c r="A139" t="s">
        <v>322</v>
      </c>
      <c r="B139">
        <v>20.43</v>
      </c>
      <c r="C139">
        <v>40.97</v>
      </c>
      <c r="I139" s="15"/>
    </row>
    <row r="140" spans="1:9" x14ac:dyDescent="0.25">
      <c r="I140" s="15"/>
    </row>
    <row r="141" spans="1:9" x14ac:dyDescent="0.25">
      <c r="I141" s="15"/>
    </row>
    <row r="142" spans="1:9" x14ac:dyDescent="0.25">
      <c r="I142" s="15"/>
    </row>
    <row r="143" spans="1:9" x14ac:dyDescent="0.25">
      <c r="I143" s="15"/>
    </row>
    <row r="144" spans="1:9" x14ac:dyDescent="0.25">
      <c r="A144" s="122" t="s">
        <v>209</v>
      </c>
      <c r="B144" s="122">
        <v>24.9</v>
      </c>
      <c r="C144" s="122">
        <v>29.9</v>
      </c>
      <c r="I144" s="15"/>
    </row>
    <row r="145" spans="1:9" x14ac:dyDescent="0.25">
      <c r="A145" s="3" t="s">
        <v>31</v>
      </c>
      <c r="B145" s="3">
        <v>31.4</v>
      </c>
      <c r="C145" s="3">
        <v>33.9</v>
      </c>
      <c r="I145" s="15"/>
    </row>
    <row r="146" spans="1:9" x14ac:dyDescent="0.25">
      <c r="A146" s="3" t="s">
        <v>210</v>
      </c>
      <c r="B146" s="3">
        <v>37.9</v>
      </c>
      <c r="C146" s="3">
        <v>37.9</v>
      </c>
      <c r="I146" s="15"/>
    </row>
    <row r="147" spans="1:9" x14ac:dyDescent="0.25">
      <c r="I147" s="15"/>
    </row>
    <row r="148" spans="1:9" x14ac:dyDescent="0.25">
      <c r="I148" s="15"/>
    </row>
    <row r="149" spans="1:9" x14ac:dyDescent="0.25">
      <c r="I149" s="15"/>
    </row>
    <row r="150" spans="1:9" x14ac:dyDescent="0.25">
      <c r="A150" s="121" t="s">
        <v>277</v>
      </c>
      <c r="B150" s="121" t="s">
        <v>234</v>
      </c>
      <c r="C150" s="121" t="s">
        <v>222</v>
      </c>
      <c r="I150" s="15"/>
    </row>
    <row r="151" spans="1:9" x14ac:dyDescent="0.25">
      <c r="A151" t="s">
        <v>323</v>
      </c>
      <c r="B151">
        <v>100</v>
      </c>
      <c r="C151">
        <v>100</v>
      </c>
      <c r="I151" s="15"/>
    </row>
    <row r="152" spans="1:9" x14ac:dyDescent="0.25">
      <c r="A152" t="s">
        <v>323</v>
      </c>
      <c r="B152">
        <v>200</v>
      </c>
      <c r="C152">
        <v>200</v>
      </c>
      <c r="I152" s="15"/>
    </row>
    <row r="153" spans="1:9" x14ac:dyDescent="0.25">
      <c r="A153" t="s">
        <v>324</v>
      </c>
      <c r="C153">
        <v>556.25</v>
      </c>
      <c r="I153" s="15"/>
    </row>
    <row r="154" spans="1:9" x14ac:dyDescent="0.25">
      <c r="A154" t="s">
        <v>325</v>
      </c>
      <c r="B154">
        <v>99.5</v>
      </c>
      <c r="I154" s="15"/>
    </row>
    <row r="155" spans="1:9" x14ac:dyDescent="0.25">
      <c r="A155" t="s">
        <v>326</v>
      </c>
      <c r="C155">
        <v>461.15</v>
      </c>
      <c r="I155" s="15"/>
    </row>
    <row r="156" spans="1:9" x14ac:dyDescent="0.25">
      <c r="A156" t="s">
        <v>327</v>
      </c>
      <c r="B156">
        <v>139</v>
      </c>
      <c r="I156" s="15"/>
    </row>
    <row r="157" spans="1:9" x14ac:dyDescent="0.25">
      <c r="A157" t="s">
        <v>221</v>
      </c>
      <c r="B157">
        <v>152.99</v>
      </c>
      <c r="I157" s="15"/>
    </row>
    <row r="158" spans="1:9" x14ac:dyDescent="0.25">
      <c r="I158" s="15"/>
    </row>
    <row r="159" spans="1:9" x14ac:dyDescent="0.25">
      <c r="A159" s="122" t="s">
        <v>209</v>
      </c>
      <c r="B159" s="122">
        <v>99.5</v>
      </c>
      <c r="C159" s="122">
        <v>100</v>
      </c>
      <c r="I159" s="15"/>
    </row>
    <row r="160" spans="1:9" x14ac:dyDescent="0.25">
      <c r="A160" s="3" t="s">
        <v>31</v>
      </c>
      <c r="B160" s="3">
        <v>138.298</v>
      </c>
      <c r="C160" s="3">
        <v>329.35</v>
      </c>
      <c r="I160" s="15"/>
    </row>
    <row r="161" spans="1:9" x14ac:dyDescent="0.25">
      <c r="A161" s="3" t="s">
        <v>210</v>
      </c>
      <c r="B161" s="3">
        <v>200</v>
      </c>
      <c r="C161" s="3">
        <v>461.15</v>
      </c>
      <c r="I161" s="15"/>
    </row>
    <row r="162" spans="1:9" x14ac:dyDescent="0.25">
      <c r="I162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8" sqref="B8"/>
    </sheetView>
  </sheetViews>
  <sheetFormatPr defaultRowHeight="15" x14ac:dyDescent="0.25"/>
  <cols>
    <col min="1" max="1" width="53" bestFit="1" customWidth="1"/>
  </cols>
  <sheetData>
    <row r="1" spans="1:2" x14ac:dyDescent="0.25">
      <c r="A1" s="83" t="s">
        <v>328</v>
      </c>
      <c r="B1" s="110" t="s">
        <v>182</v>
      </c>
    </row>
    <row r="2" spans="1:2" x14ac:dyDescent="0.25">
      <c r="A2" s="12" t="s">
        <v>32</v>
      </c>
      <c r="B2" s="12">
        <v>500</v>
      </c>
    </row>
    <row r="3" spans="1:2" x14ac:dyDescent="0.25">
      <c r="A3" s="12" t="s">
        <v>0</v>
      </c>
      <c r="B3" s="12">
        <v>2400</v>
      </c>
    </row>
    <row r="4" spans="1:2" x14ac:dyDescent="0.25">
      <c r="A4" s="19" t="s">
        <v>30</v>
      </c>
      <c r="B4" s="12">
        <v>35</v>
      </c>
    </row>
    <row r="5" spans="1:2" x14ac:dyDescent="0.25">
      <c r="A5" s="12" t="s">
        <v>33</v>
      </c>
      <c r="B5" s="12">
        <v>849</v>
      </c>
    </row>
    <row r="6" spans="1:2" x14ac:dyDescent="0.25">
      <c r="A6" s="18" t="s">
        <v>6</v>
      </c>
      <c r="B6" s="16">
        <v>70</v>
      </c>
    </row>
    <row r="7" spans="1:2" x14ac:dyDescent="0.25">
      <c r="A7" s="13" t="s">
        <v>9</v>
      </c>
      <c r="B7" s="12">
        <v>36</v>
      </c>
    </row>
    <row r="8" spans="1:2" x14ac:dyDescent="0.25">
      <c r="A8" s="12" t="s">
        <v>34</v>
      </c>
      <c r="B8" s="12">
        <v>70</v>
      </c>
    </row>
    <row r="9" spans="1:2" x14ac:dyDescent="0.25">
      <c r="A9" s="12" t="s">
        <v>7</v>
      </c>
      <c r="B9" s="12">
        <v>200</v>
      </c>
    </row>
    <row r="10" spans="1:2" x14ac:dyDescent="0.25">
      <c r="A10" s="12" t="s">
        <v>8</v>
      </c>
      <c r="B10" s="12">
        <v>45</v>
      </c>
    </row>
    <row r="11" spans="1:2" x14ac:dyDescent="0.25">
      <c r="A11" s="13" t="s">
        <v>10</v>
      </c>
      <c r="B11" s="12">
        <v>30</v>
      </c>
    </row>
    <row r="12" spans="1:2" x14ac:dyDescent="0.25">
      <c r="A12" s="13" t="s">
        <v>11</v>
      </c>
      <c r="B12" s="12">
        <v>24</v>
      </c>
    </row>
    <row r="13" spans="1:2" x14ac:dyDescent="0.25">
      <c r="A13" s="13" t="s">
        <v>5</v>
      </c>
      <c r="B13" s="12">
        <v>20</v>
      </c>
    </row>
    <row r="14" spans="1:2" x14ac:dyDescent="0.25">
      <c r="A14" s="13" t="s">
        <v>35</v>
      </c>
      <c r="B14" s="12">
        <v>40</v>
      </c>
    </row>
    <row r="15" spans="1:2" x14ac:dyDescent="0.25">
      <c r="A15" s="124" t="s">
        <v>36</v>
      </c>
      <c r="B15" s="16">
        <f>SUM(B2:B14)</f>
        <v>4319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Ekonomiska beräkningar</vt:lpstr>
      <vt:lpstr>Soc. Kostn Int till kalkylen</vt:lpstr>
      <vt:lpstr>Soc. kostnader intäkter Macken</vt:lpstr>
      <vt:lpstr>Soc. före resultat av koncept 1</vt:lpstr>
      <vt:lpstr>Skördenivå</vt:lpstr>
      <vt:lpstr>Arbetstimmar</vt:lpstr>
      <vt:lpstr>Försäljningspris handeln</vt:lpstr>
      <vt:lpstr>Några investeringskostnader</vt:lpstr>
    </vt:vector>
  </TitlesOfParts>
  <Company>Linnaeus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Persdotter Isaksson</dc:creator>
  <cp:lastModifiedBy>Maria Persdotter Isaksson</cp:lastModifiedBy>
  <dcterms:created xsi:type="dcterms:W3CDTF">2014-08-04T17:59:11Z</dcterms:created>
  <dcterms:modified xsi:type="dcterms:W3CDTF">2015-01-14T21:04:16Z</dcterms:modified>
</cp:coreProperties>
</file>